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4940" windowHeight="762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neeft</author>
  </authors>
  <commentList>
    <comment ref="C32" authorId="0">
      <text>
        <r>
          <rPr>
            <sz val="8"/>
            <rFont val="Tahoma"/>
            <family val="2"/>
          </rPr>
          <t>AVISO:
El resultado proporcionado por la hoja Esca y El está expresado en ton eq. CO2/ha/año. Para trasnformarlo en t C/ha/año se debe dividir por 3.664.</t>
        </r>
      </text>
    </comment>
    <comment ref="D32" authorId="0">
      <text>
        <r>
          <rPr>
            <sz val="8"/>
            <rFont val="Tahoma"/>
            <family val="2"/>
          </rPr>
          <t>AVISO:
El resultado proporcionado por la hoja Esca y El está expresado en ton eq. CO2/ha/año. Para trasnformarlo en t C/ha/año se debe dividir por 3.664.</t>
        </r>
      </text>
    </comment>
  </commentList>
</comments>
</file>

<file path=xl/sharedStrings.xml><?xml version="1.0" encoding="utf-8"?>
<sst xmlns="http://schemas.openxmlformats.org/spreadsheetml/2006/main" count="348" uniqueCount="233">
  <si>
    <r>
      <t>Puede calcular este valor usando las hojas E</t>
    </r>
    <r>
      <rPr>
        <vertAlign val="subscript"/>
        <sz val="10"/>
        <rFont val="Calibri"/>
        <family val="2"/>
      </rPr>
      <t>l</t>
    </r>
    <r>
      <rPr>
        <sz val="10"/>
        <rFont val="Calibri"/>
        <family val="2"/>
      </rPr>
      <t xml:space="preserve"> o E</t>
    </r>
    <r>
      <rPr>
        <vertAlign val="subscript"/>
        <sz val="10"/>
        <rFont val="Calibri"/>
        <family val="2"/>
      </rPr>
      <t>sca</t>
    </r>
    <r>
      <rPr>
        <sz val="10"/>
        <rFont val="Calibri"/>
        <family val="2"/>
      </rPr>
      <t xml:space="preserve"> disponible en www.idae.es </t>
    </r>
  </si>
  <si>
    <t>Por favor, rellene las siguientes celdas solo en caso de que aparezca un texto en la columna B.</t>
  </si>
  <si>
    <t>Valor por defecto usado en la DER</t>
  </si>
  <si>
    <r>
      <t>(1) IPCC 2006, 2006 IPCC Guidelines for National Greenhouse Gas Inventories, Prepared by the National Greenhouse Gas Inventories Programme, Eggleston H.S., Buendia L., Miwa K., Ngara T. and Tanabe K. (eds). Published: IGES, Japan. Ver Chapter 11 de N</t>
    </r>
    <r>
      <rPr>
        <vertAlign val="subscript"/>
        <sz val="10"/>
        <rFont val="Calibri"/>
        <family val="2"/>
      </rPr>
      <t>2</t>
    </r>
    <r>
      <rPr>
        <sz val="10"/>
        <rFont val="Calibri"/>
        <family val="2"/>
      </rPr>
      <t>O emissions from managed soils</t>
    </r>
  </si>
  <si>
    <r>
      <t>Emisiones directas de N</t>
    </r>
    <r>
      <rPr>
        <b/>
        <vertAlign val="subscript"/>
        <sz val="12"/>
        <rFont val="Calibri"/>
        <family val="2"/>
      </rPr>
      <t>2</t>
    </r>
    <r>
      <rPr>
        <b/>
        <sz val="12"/>
        <rFont val="Calibri"/>
        <family val="2"/>
      </rPr>
      <t xml:space="preserve">O de suelos cultivados (Tier1). </t>
    </r>
  </si>
  <si>
    <t>Por favor introduzca los aportes de N en forma de fertilizantes sintéticos y orgánicos en las celdas de fondo blanco</t>
  </si>
  <si>
    <r>
      <t>Emisiones de N</t>
    </r>
    <r>
      <rPr>
        <b/>
        <u val="single"/>
        <vertAlign val="subscript"/>
        <sz val="10"/>
        <rFont val="Calibri"/>
        <family val="2"/>
      </rPr>
      <t>2</t>
    </r>
    <r>
      <rPr>
        <b/>
        <u val="single"/>
        <sz val="10"/>
        <rFont val="Calibri"/>
        <family val="2"/>
      </rPr>
      <t>O de los aportes de N en fertilización:</t>
    </r>
  </si>
  <si>
    <t>kg N/ha/año</t>
  </si>
  <si>
    <t>N en el fertilizante sintético</t>
  </si>
  <si>
    <t>N en el fertilizante orgánico</t>
  </si>
  <si>
    <t>N aportado por los residuos de cosecha</t>
  </si>
  <si>
    <t xml:space="preserve">N mineralizado </t>
  </si>
  <si>
    <t>Datos del cultivo</t>
  </si>
  <si>
    <t>Ver tablas Tabla 2, Tabla 3, Tabla 4 y Tabla 5 para detalles de los cálculos intermedios (parte derecha de esta hoja)</t>
  </si>
  <si>
    <t>media</t>
  </si>
  <si>
    <r>
      <t>kg N</t>
    </r>
    <r>
      <rPr>
        <vertAlign val="subscript"/>
        <sz val="10"/>
        <rFont val="Calibri"/>
        <family val="2"/>
      </rPr>
      <t>2</t>
    </r>
    <r>
      <rPr>
        <sz val="10"/>
        <rFont val="Calibri"/>
        <family val="2"/>
      </rPr>
      <t>O_N/ha/año</t>
    </r>
  </si>
  <si>
    <r>
      <t>kg N</t>
    </r>
    <r>
      <rPr>
        <vertAlign val="subscript"/>
        <sz val="10"/>
        <rFont val="Calibri"/>
        <family val="2"/>
      </rPr>
      <t>2</t>
    </r>
    <r>
      <rPr>
        <sz val="10"/>
        <rFont val="Calibri"/>
        <family val="2"/>
      </rPr>
      <t>O/ha/año</t>
    </r>
  </si>
  <si>
    <t>Factor de emisión para emisiones directas (IPCC Tier 1)</t>
  </si>
  <si>
    <r>
      <t>Emisiones directas de N</t>
    </r>
    <r>
      <rPr>
        <vertAlign val="subscript"/>
        <sz val="10"/>
        <rFont val="Calibri"/>
        <family val="2"/>
      </rPr>
      <t>2</t>
    </r>
    <r>
      <rPr>
        <sz val="10"/>
        <rFont val="Calibri"/>
        <family val="2"/>
      </rPr>
      <t>O calculadas</t>
    </r>
  </si>
  <si>
    <r>
      <t>N</t>
    </r>
    <r>
      <rPr>
        <vertAlign val="subscript"/>
        <sz val="10"/>
        <rFont val="Calibri"/>
        <family val="2"/>
      </rPr>
      <t>2</t>
    </r>
    <r>
      <rPr>
        <sz val="10"/>
        <rFont val="Calibri"/>
        <family val="2"/>
      </rPr>
      <t xml:space="preserve">O_N </t>
    </r>
    <r>
      <rPr>
        <vertAlign val="subscript"/>
        <sz val="10"/>
        <rFont val="Calibri"/>
        <family val="2"/>
      </rPr>
      <t xml:space="preserve">aportes de N </t>
    </r>
  </si>
  <si>
    <r>
      <t>Otras emisiones directas de N</t>
    </r>
    <r>
      <rPr>
        <b/>
        <u val="single"/>
        <vertAlign val="subscript"/>
        <sz val="10"/>
        <rFont val="Calibri"/>
        <family val="2"/>
      </rPr>
      <t>2</t>
    </r>
    <r>
      <rPr>
        <b/>
        <u val="single"/>
        <sz val="10"/>
        <rFont val="Calibri"/>
        <family val="2"/>
      </rPr>
      <t>O (quema del RAC)</t>
    </r>
  </si>
  <si>
    <r>
      <t>Emisiones directas de  N</t>
    </r>
    <r>
      <rPr>
        <b/>
        <vertAlign val="subscript"/>
        <sz val="10"/>
        <rFont val="Calibri"/>
        <family val="2"/>
      </rPr>
      <t>2</t>
    </r>
    <r>
      <rPr>
        <b/>
        <sz val="10"/>
        <rFont val="Calibri"/>
        <family val="2"/>
      </rPr>
      <t xml:space="preserve">O TOTALES : </t>
    </r>
  </si>
  <si>
    <r>
      <t>Emisiones indirectas de N</t>
    </r>
    <r>
      <rPr>
        <b/>
        <vertAlign val="subscript"/>
        <sz val="12"/>
        <rFont val="Calibri"/>
        <family val="2"/>
      </rPr>
      <t>2</t>
    </r>
    <r>
      <rPr>
        <b/>
        <sz val="12"/>
        <rFont val="Calibri"/>
        <family val="2"/>
      </rPr>
      <t>O de suelos cultivados (Tier1)</t>
    </r>
  </si>
  <si>
    <t>Ver tablas Tabla 6, Tabla 7 y Tabla 8 para detalles de los cálculos intermedios (parte derecha de esta hoja)</t>
  </si>
  <si>
    <r>
      <t>Cantidad de NH</t>
    </r>
    <r>
      <rPr>
        <vertAlign val="subscript"/>
        <sz val="10"/>
        <rFont val="Calibri"/>
        <family val="2"/>
      </rPr>
      <t>3</t>
    </r>
    <r>
      <rPr>
        <sz val="10"/>
        <rFont val="Calibri"/>
        <family val="2"/>
      </rPr>
      <t xml:space="preserve"> volatilizado (IPCC Tier 1): </t>
    </r>
  </si>
  <si>
    <t>Cantidad de nitrato lixiviado (IPCC Tier 1):</t>
  </si>
  <si>
    <r>
      <t>Emisión de N</t>
    </r>
    <r>
      <rPr>
        <b/>
        <vertAlign val="subscript"/>
        <sz val="10"/>
        <rFont val="Calibri"/>
        <family val="2"/>
      </rPr>
      <t>2</t>
    </r>
    <r>
      <rPr>
        <b/>
        <sz val="10"/>
        <rFont val="Calibri"/>
        <family val="2"/>
      </rPr>
      <t xml:space="preserve">O proveniente de la lixiviación de nitratos: </t>
    </r>
  </si>
  <si>
    <r>
      <t>N</t>
    </r>
    <r>
      <rPr>
        <b/>
        <vertAlign val="subscript"/>
        <sz val="10"/>
        <rFont val="Calibri"/>
        <family val="2"/>
      </rPr>
      <t>2</t>
    </r>
    <r>
      <rPr>
        <b/>
        <sz val="10"/>
        <rFont val="Calibri"/>
        <family val="2"/>
      </rPr>
      <t>O de la deposición atmosférica del N volatilizado:</t>
    </r>
  </si>
  <si>
    <r>
      <t>kg N</t>
    </r>
    <r>
      <rPr>
        <vertAlign val="subscript"/>
        <sz val="10"/>
        <rFont val="Calibri"/>
        <family val="2"/>
      </rPr>
      <t>2</t>
    </r>
    <r>
      <rPr>
        <sz val="10"/>
        <rFont val="Calibri"/>
        <family val="2"/>
      </rPr>
      <t>O_N/ha/yaño</t>
    </r>
  </si>
  <si>
    <r>
      <t>EMISIONES TOTALES DE N</t>
    </r>
    <r>
      <rPr>
        <b/>
        <vertAlign val="subscript"/>
        <sz val="14"/>
        <rFont val="Calibri"/>
        <family val="2"/>
      </rPr>
      <t>2</t>
    </r>
    <r>
      <rPr>
        <b/>
        <sz val="14"/>
        <rFont val="Calibri"/>
        <family val="2"/>
      </rPr>
      <t>O ( Emisiones de N</t>
    </r>
    <r>
      <rPr>
        <b/>
        <vertAlign val="subscript"/>
        <sz val="14"/>
        <rFont val="Calibri"/>
        <family val="2"/>
      </rPr>
      <t>2</t>
    </r>
    <r>
      <rPr>
        <b/>
        <sz val="14"/>
        <rFont val="Calibri"/>
        <family val="2"/>
      </rPr>
      <t>O Directas + Indirectas) de suelos cultivados (Tier1)</t>
    </r>
  </si>
  <si>
    <t xml:space="preserve">Resultado para introducir en CALCUGEI : </t>
  </si>
  <si>
    <t>por ha</t>
  </si>
  <si>
    <t>por kg ms</t>
  </si>
  <si>
    <r>
      <t>kg N</t>
    </r>
    <r>
      <rPr>
        <b/>
        <vertAlign val="subscript"/>
        <sz val="10"/>
        <rFont val="Calibri"/>
        <family val="2"/>
      </rPr>
      <t>2</t>
    </r>
    <r>
      <rPr>
        <b/>
        <sz val="10"/>
        <rFont val="Calibri"/>
        <family val="2"/>
      </rPr>
      <t>O/ha/año</t>
    </r>
  </si>
  <si>
    <t>Referencias</t>
  </si>
  <si>
    <t>Tabla 1 : Cultivos considerados en esta hoja</t>
  </si>
  <si>
    <t>Tabla 2</t>
  </si>
  <si>
    <t xml:space="preserve">N en residuos de cosecha = </t>
  </si>
  <si>
    <t>kg/ha/año</t>
  </si>
  <si>
    <t>Fuente : IPCC 2006</t>
  </si>
  <si>
    <t>Tabla 3</t>
  </si>
  <si>
    <t>Fuente: IPCC 2006</t>
  </si>
  <si>
    <t>Tabla 4</t>
  </si>
  <si>
    <t xml:space="preserve">N mineralizado  = </t>
  </si>
  <si>
    <t>IPCC 2006, capítulo 11</t>
  </si>
  <si>
    <t>Fuente</t>
  </si>
  <si>
    <r>
      <t>N</t>
    </r>
    <r>
      <rPr>
        <vertAlign val="subscript"/>
        <sz val="10"/>
        <rFont val="Calibri"/>
        <family val="2"/>
      </rPr>
      <t>AG</t>
    </r>
    <r>
      <rPr>
        <sz val="10"/>
        <rFont val="Calibri"/>
        <family val="2"/>
      </rPr>
      <t xml:space="preserve"> y N</t>
    </r>
    <r>
      <rPr>
        <vertAlign val="subscript"/>
        <sz val="10"/>
        <rFont val="Calibri"/>
        <family val="2"/>
      </rPr>
      <t>BG</t>
    </r>
    <r>
      <rPr>
        <sz val="10"/>
        <rFont val="Calibri"/>
        <family val="2"/>
      </rPr>
      <t xml:space="preserve"> se han obtenido de (2). El cálculo de los residuos aéreos está basado en (3). Para el valor de la pendiente en la metodología IPCC se ha usado la media de los valores dados en la Tabla 1 de la referencia. El ratio entre los residuos subterráneos y la biomasa aérea (RBG-BIO) se asume que es el mismo que en judias y otras leguminosas.</t>
    </r>
  </si>
  <si>
    <r>
      <t>Se asume para N</t>
    </r>
    <r>
      <rPr>
        <vertAlign val="subscript"/>
        <sz val="10"/>
        <rFont val="Calibri"/>
        <family val="2"/>
      </rPr>
      <t>AG</t>
    </r>
    <r>
      <rPr>
        <sz val="10"/>
        <rFont val="Calibri"/>
        <family val="2"/>
      </rPr>
      <t xml:space="preserve"> un valor de 0.007: en (4) aparece un valor de 0.0067 para los tallos (tabla 1) y en (5) un valor de 0.0072 de N en los tallos de girasol (Tabla 4.1). Para N</t>
    </r>
    <r>
      <rPr>
        <vertAlign val="subscript"/>
        <sz val="10"/>
        <rFont val="Calibri"/>
        <family val="2"/>
      </rPr>
      <t>BG</t>
    </r>
    <r>
      <rPr>
        <sz val="10"/>
        <rFont val="Calibri"/>
        <family val="2"/>
      </rPr>
      <t xml:space="preserve"> se asume el mismo valor que para maiz. El cálculo de los residuos aéreos está basado en (3). Para el valor de la pendiente en la metodología IPCC se ha usado la media de los valores dados en la Tabla 1 de la referencia.El ratio entre los residuos subterráneos y la biomasa aérea (RBG-BIO) se asume que es el mismo que en el maiz.</t>
    </r>
  </si>
  <si>
    <t>Tabla 5</t>
  </si>
  <si>
    <t xml:space="preserve">Para mas detalles ver IPCC 2006, capítulo 11 </t>
  </si>
  <si>
    <t>Relativo al cultivo T</t>
  </si>
  <si>
    <t>Contenido de N de los residuos aéreos</t>
  </si>
  <si>
    <r>
      <t>Pendiente de la recta que relaciona AG</t>
    </r>
    <r>
      <rPr>
        <vertAlign val="subscript"/>
        <sz val="10"/>
        <rFont val="Calibri"/>
        <family val="2"/>
      </rPr>
      <t>DM(T)</t>
    </r>
    <r>
      <rPr>
        <sz val="10"/>
        <rFont val="Calibri"/>
        <family val="2"/>
      </rPr>
      <t xml:space="preserve"> con los rendimientos del cultivo</t>
    </r>
  </si>
  <si>
    <r>
      <t>Valor de AG</t>
    </r>
    <r>
      <rPr>
        <vertAlign val="subscript"/>
        <sz val="10"/>
        <rFont val="Calibri"/>
        <family val="2"/>
      </rPr>
      <t xml:space="preserve">DM(T) </t>
    </r>
    <r>
      <rPr>
        <sz val="10"/>
        <rFont val="Calibri"/>
        <family val="2"/>
      </rPr>
      <t>para un rendimiento del cultivo  = 0</t>
    </r>
  </si>
  <si>
    <t>Residuos aéreos (materia seca)</t>
  </si>
  <si>
    <t>Ratio entre residuos subterréaneos y residuos aéreos</t>
  </si>
  <si>
    <t xml:space="preserve"> y el rendimiento del cultivo T (Crop(T))</t>
  </si>
  <si>
    <t>Contenido de N de los residuos subterráneos</t>
  </si>
  <si>
    <t>Residuos subterráneos (materia seca)</t>
  </si>
  <si>
    <t>Poder calorífico inferior</t>
  </si>
  <si>
    <t>Fertilizante sintético aplicado</t>
  </si>
  <si>
    <t>Fertilizante orgánico aplicado</t>
  </si>
  <si>
    <t>N en el residuo de cultivo que se devuelve al suelo ( incluidos los culticos fijadores de N y la renovación de pastizales)</t>
  </si>
  <si>
    <t>N mineralizado como resultado de la pérdida de C orgánico en suelos minerales</t>
  </si>
  <si>
    <t>debido a cambio de uso del suelo o mejora de la gestión agrícola</t>
  </si>
  <si>
    <t xml:space="preserve">Fracción de todo el N aportado o mineralizado que se pierde por lixiviación y escorrentía, en kg N </t>
  </si>
  <si>
    <t>Tabla 8</t>
  </si>
  <si>
    <t>Glosario para las tablas 6 y 7</t>
  </si>
  <si>
    <t xml:space="preserve">Volatilización = </t>
  </si>
  <si>
    <t>kg NH3&amp;NOx /ha/año</t>
  </si>
  <si>
    <t>Tabla 7</t>
  </si>
  <si>
    <t>Lixiviación =</t>
  </si>
  <si>
    <r>
      <t>kg NO</t>
    </r>
    <r>
      <rPr>
        <b/>
        <vertAlign val="subscript"/>
        <sz val="10"/>
        <rFont val="Calibri"/>
        <family val="2"/>
      </rPr>
      <t>3</t>
    </r>
    <r>
      <rPr>
        <b/>
        <sz val="10"/>
        <rFont val="Calibri"/>
        <family val="2"/>
      </rPr>
      <t>_N/ha/año</t>
    </r>
  </si>
  <si>
    <t>N en fertilizante sintético</t>
  </si>
  <si>
    <t>N en fertilizante orgánico</t>
  </si>
  <si>
    <t>N en los residuos de cultivo</t>
  </si>
  <si>
    <t>N mineralizado</t>
  </si>
  <si>
    <t xml:space="preserve">- La estimación de las aportaciones de N de los restos de cosecha de la remolacha se ha hecho utilizando los datos de "Tubers" de la Tabla 11.2 del documento del IPCC.  </t>
  </si>
  <si>
    <t>Elaborado por:</t>
  </si>
  <si>
    <t>Yolanda Lechón, Carmen Lago e Israel Herrera (Unidad de Análisis de Sistemas Energéticos CIEMAT). Abril 2013.</t>
  </si>
  <si>
    <r>
      <t>Herramienta para el cálculo de las emisiones de N</t>
    </r>
    <r>
      <rPr>
        <b/>
        <vertAlign val="subscript"/>
        <sz val="14"/>
        <color indexed="9"/>
        <rFont val="Calibri"/>
        <family val="2"/>
      </rPr>
      <t>2</t>
    </r>
    <r>
      <rPr>
        <b/>
        <sz val="14"/>
        <color indexed="9"/>
        <rFont val="Calibri"/>
        <family val="2"/>
      </rPr>
      <t>O usando la metodología del IPCC</t>
    </r>
  </si>
  <si>
    <t>- Para colza y girasol el cálculo de las aportaciones de N de los restos de cosecha se ha hecho usando parámetros específicos de la literatura científica (2-5). Ver también los comentarios de las celdas AH60 y AH61</t>
  </si>
  <si>
    <t>- En el caso de la caña de azúcar, el término FCR de aportaciones anuales de N de restos de cosecha se ha calculado considerando las aportaciones de vinaza y torta de filtrado, basado en las hipótesis hechas en (7). Estas aportaciones de pueden cambiar por el usuario en las celdas C42 y C43 para las que se proporcionan unos valores por defecto. El contenido de N de estos residuos se pregunta en las celdas C44 y C45 proporcionándose también unos valores por defecto. En este caso las ecuaciones 11.6 and 11.7 no se usan.</t>
  </si>
  <si>
    <t>t</t>
  </si>
  <si>
    <t>no</t>
  </si>
  <si>
    <t>slope</t>
  </si>
  <si>
    <t>intercept</t>
  </si>
  <si>
    <t>LHV (MJ/kg)</t>
  </si>
  <si>
    <t>min</t>
  </si>
  <si>
    <t>max</t>
  </si>
  <si>
    <t>R1</t>
  </si>
  <si>
    <t>R2</t>
  </si>
  <si>
    <t>-</t>
  </si>
  <si>
    <t>kg N/ha</t>
  </si>
  <si>
    <t>Eq 11.8</t>
  </si>
  <si>
    <t>Eq 11.6</t>
  </si>
  <si>
    <t>Eq 11.7A</t>
  </si>
  <si>
    <t>Eq.11.2</t>
  </si>
  <si>
    <t xml:space="preserve">(T) = </t>
  </si>
  <si>
    <t xml:space="preserve">slope = </t>
  </si>
  <si>
    <t xml:space="preserve">LHV (MJ/kg) = </t>
  </si>
  <si>
    <t>Table 6</t>
  </si>
  <si>
    <t>Eq.11.9</t>
  </si>
  <si>
    <t>Eq.11.10</t>
  </si>
  <si>
    <t xml:space="preserve">min </t>
  </si>
  <si>
    <t>%</t>
  </si>
  <si>
    <t xml:space="preserve">(3) Scarlat, N.; Martinov, M. and Dallemand, J.-F. (2010): Assessment of the availability of agricultural crop residues in the European Union: Potential and limitations for bioenergy use. Waste Management 30, pp 1189 - 1897 </t>
  </si>
  <si>
    <t>(4) Marc Corbeels, M.; Hofman, G. and Van Cleemput, O (2000): Nitrogen cycling associated with the decomposition of sunflower stalks and wheat straw in a Vertisol. Plant and Soil 218: 71–82</t>
  </si>
  <si>
    <t>(5) Del Pino Machado, A.S. (2005): Estimating nitrogen mineralization potential of soils and the effect of water and temperature and crop residues on nitrogen net mineralization. Dissertation published by Cuvillier Verlag, Goettingen. In Chapter 4 \\\"Crop residue composition and mineralization patterns in agricultural soils of Uruguay\\\</t>
  </si>
  <si>
    <t>(6)(S&amp;T)2 Consultants Inc., Canada: "The addition of palm oil diesel and coal derived FT distillate to GHGENIUS"; prepared for National Resources Canada Office of Energy Efficiency; 2006</t>
  </si>
  <si>
    <t>(7) Sugar Cane’s Energy – Twelve studies on Brasilian sugar cane agribusiness and its sustainability / Isaias de Carvalho Macedo. UNICA – União da Agroindústria Canavieira do Estado de São Paulo, 2005.</t>
  </si>
  <si>
    <t>(8) Brazilian Sugar Cane Industry Association (UNICA): GHG emissions analysis for Brazilian sugar cane ethanol into the European Union; 2010</t>
  </si>
  <si>
    <t>Isaias de Carvalho Macedo, Núcleo Interdisciplinar de Planajamento Energético da Universidade Estadual d Campinas - NIPE/UNICAMP; Manoel Regis Lima</t>
  </si>
  <si>
    <t>Verde Leal, Centro de Tecnologiea Copersucar (CTC/Copersucar), Piracicaba; Joao Eduardo Azevedo Ramos da Silva - Centro de Tecnologia Copersucar</t>
  </si>
  <si>
    <t>(CTC/Copersucar), Piracicaba: Assessment of greenhouse gas emissions in the production and use of fuel ethanol in Brazil; Government of the State of Sao</t>
  </si>
  <si>
    <t>Paulo; Geraldo Alckmin - Governor; Secretariat of the Environment José Goldemberg - Secretary; April 2004</t>
  </si>
  <si>
    <t>Los cálculos están basados en la metodología del IPCC Tier 1(1).</t>
  </si>
  <si>
    <r>
      <t>F</t>
    </r>
    <r>
      <rPr>
        <b/>
        <vertAlign val="subscript"/>
        <sz val="10"/>
        <rFont val="Calibri"/>
        <family val="2"/>
      </rPr>
      <t>CR</t>
    </r>
  </si>
  <si>
    <r>
      <t>F</t>
    </r>
    <r>
      <rPr>
        <b/>
        <vertAlign val="subscript"/>
        <sz val="10"/>
        <rFont val="Calibri"/>
        <family val="2"/>
      </rPr>
      <t>SOM</t>
    </r>
  </si>
  <si>
    <r>
      <t>N</t>
    </r>
    <r>
      <rPr>
        <vertAlign val="subscript"/>
        <sz val="10"/>
        <rFont val="Calibri"/>
        <family val="2"/>
      </rPr>
      <t>AG</t>
    </r>
  </si>
  <si>
    <r>
      <t>AG</t>
    </r>
    <r>
      <rPr>
        <b/>
        <vertAlign val="subscript"/>
        <sz val="10"/>
        <rFont val="Calibri"/>
        <family val="2"/>
      </rPr>
      <t>DM(T)</t>
    </r>
  </si>
  <si>
    <r>
      <t>(AG</t>
    </r>
    <r>
      <rPr>
        <b/>
        <vertAlign val="subscript"/>
        <sz val="10"/>
        <rFont val="Calibri"/>
        <family val="2"/>
      </rPr>
      <t>DM(T)</t>
    </r>
    <r>
      <rPr>
        <b/>
        <sz val="10"/>
        <rFont val="Calibri"/>
        <family val="2"/>
      </rPr>
      <t>*1000+Crop(T))/Crop(T)</t>
    </r>
  </si>
  <si>
    <r>
      <t>R</t>
    </r>
    <r>
      <rPr>
        <vertAlign val="subscript"/>
        <sz val="10"/>
        <rFont val="Calibri"/>
        <family val="2"/>
      </rPr>
      <t>AG(T)</t>
    </r>
  </si>
  <si>
    <r>
      <t>R</t>
    </r>
    <r>
      <rPr>
        <vertAlign val="subscript"/>
        <sz val="10"/>
        <rFont val="Calibri"/>
        <family val="2"/>
      </rPr>
      <t>BG-BIO(T)</t>
    </r>
  </si>
  <si>
    <r>
      <t>N</t>
    </r>
    <r>
      <rPr>
        <vertAlign val="subscript"/>
        <sz val="10"/>
        <rFont val="Calibri"/>
        <family val="2"/>
      </rPr>
      <t>BG</t>
    </r>
  </si>
  <si>
    <r>
      <t>R</t>
    </r>
    <r>
      <rPr>
        <vertAlign val="subscript"/>
        <sz val="10"/>
        <rFont val="Calibri"/>
        <family val="2"/>
      </rPr>
      <t>BG(T)</t>
    </r>
  </si>
  <si>
    <r>
      <t xml:space="preserve"> BG</t>
    </r>
    <r>
      <rPr>
        <vertAlign val="subscript"/>
        <sz val="10"/>
        <rFont val="Calibri"/>
        <family val="2"/>
      </rPr>
      <t>DM(T)</t>
    </r>
  </si>
  <si>
    <r>
      <t>AG</t>
    </r>
    <r>
      <rPr>
        <vertAlign val="subscript"/>
        <sz val="10"/>
        <rFont val="Calibri"/>
        <family val="2"/>
      </rPr>
      <t>DM(T)</t>
    </r>
  </si>
  <si>
    <r>
      <t xml:space="preserve">Frac </t>
    </r>
    <r>
      <rPr>
        <vertAlign val="subscript"/>
        <sz val="10"/>
        <rFont val="Calibri"/>
        <family val="2"/>
      </rPr>
      <t>Renew(T)</t>
    </r>
  </si>
  <si>
    <r>
      <t>F</t>
    </r>
    <r>
      <rPr>
        <vertAlign val="subscript"/>
        <sz val="10"/>
        <rFont val="Calibri"/>
        <family val="2"/>
      </rPr>
      <t>SN</t>
    </r>
  </si>
  <si>
    <r>
      <t>F</t>
    </r>
    <r>
      <rPr>
        <vertAlign val="subscript"/>
        <sz val="10"/>
        <rFont val="Calibri"/>
        <family val="2"/>
      </rPr>
      <t>ON</t>
    </r>
  </si>
  <si>
    <r>
      <t>N</t>
    </r>
    <r>
      <rPr>
        <vertAlign val="subscript"/>
        <sz val="10"/>
        <rFont val="Calibri"/>
        <family val="2"/>
      </rPr>
      <t>AG(T)</t>
    </r>
  </si>
  <si>
    <r>
      <t>F</t>
    </r>
    <r>
      <rPr>
        <vertAlign val="subscript"/>
        <sz val="10"/>
        <rFont val="Calibri"/>
        <family val="2"/>
      </rPr>
      <t>CR</t>
    </r>
  </si>
  <si>
    <r>
      <t xml:space="preserve">Frac </t>
    </r>
    <r>
      <rPr>
        <vertAlign val="subscript"/>
        <sz val="10"/>
        <rFont val="Calibri"/>
        <family val="2"/>
      </rPr>
      <t>Remove(T)</t>
    </r>
  </si>
  <si>
    <r>
      <t>F</t>
    </r>
    <r>
      <rPr>
        <vertAlign val="subscript"/>
        <sz val="10"/>
        <rFont val="Calibri"/>
        <family val="2"/>
      </rPr>
      <t>SOM</t>
    </r>
  </si>
  <si>
    <r>
      <t>N</t>
    </r>
    <r>
      <rPr>
        <vertAlign val="subscript"/>
        <sz val="10"/>
        <rFont val="Calibri"/>
        <family val="2"/>
      </rPr>
      <t>BG(T)</t>
    </r>
  </si>
  <si>
    <r>
      <t>EF</t>
    </r>
    <r>
      <rPr>
        <b/>
        <vertAlign val="subscript"/>
        <sz val="10"/>
        <rFont val="Calibri"/>
        <family val="2"/>
      </rPr>
      <t>1</t>
    </r>
  </si>
  <si>
    <r>
      <t>R</t>
    </r>
    <r>
      <rPr>
        <vertAlign val="subscript"/>
        <sz val="10"/>
        <rFont val="Calibri"/>
        <family val="2"/>
      </rPr>
      <t xml:space="preserve">AG(T) </t>
    </r>
    <r>
      <rPr>
        <sz val="10"/>
        <rFont val="Calibri"/>
        <family val="2"/>
      </rPr>
      <t xml:space="preserve">= </t>
    </r>
  </si>
  <si>
    <r>
      <t>N</t>
    </r>
    <r>
      <rPr>
        <vertAlign val="subscript"/>
        <sz val="10"/>
        <rFont val="Calibri"/>
        <family val="2"/>
      </rPr>
      <t xml:space="preserve">AG </t>
    </r>
    <r>
      <rPr>
        <sz val="10"/>
        <rFont val="Calibri"/>
        <family val="2"/>
      </rPr>
      <t xml:space="preserve">= </t>
    </r>
  </si>
  <si>
    <r>
      <t>N</t>
    </r>
    <r>
      <rPr>
        <vertAlign val="subscript"/>
        <sz val="10"/>
        <rFont val="Calibri"/>
        <family val="2"/>
      </rPr>
      <t>BG</t>
    </r>
    <r>
      <rPr>
        <sz val="10"/>
        <rFont val="Calibri"/>
        <family val="2"/>
      </rPr>
      <t xml:space="preserve"> = </t>
    </r>
  </si>
  <si>
    <r>
      <t>R</t>
    </r>
    <r>
      <rPr>
        <vertAlign val="subscript"/>
        <sz val="10"/>
        <rFont val="Calibri"/>
        <family val="2"/>
      </rPr>
      <t>BG(T)</t>
    </r>
    <r>
      <rPr>
        <sz val="10"/>
        <rFont val="Calibri"/>
        <family val="2"/>
      </rPr>
      <t xml:space="preserve"> = </t>
    </r>
  </si>
  <si>
    <r>
      <t xml:space="preserve"> BG</t>
    </r>
    <r>
      <rPr>
        <vertAlign val="subscript"/>
        <sz val="10"/>
        <rFont val="Calibri"/>
        <family val="2"/>
      </rPr>
      <t>DM(T)</t>
    </r>
    <r>
      <rPr>
        <sz val="10"/>
        <rFont val="Calibri"/>
        <family val="2"/>
      </rPr>
      <t xml:space="preserve"> = </t>
    </r>
  </si>
  <si>
    <r>
      <t>AG</t>
    </r>
    <r>
      <rPr>
        <b/>
        <vertAlign val="subscript"/>
        <sz val="10"/>
        <rFont val="Calibri"/>
        <family val="2"/>
      </rPr>
      <t>DM(T)</t>
    </r>
    <r>
      <rPr>
        <b/>
        <sz val="10"/>
        <rFont val="Calibri"/>
        <family val="2"/>
      </rPr>
      <t xml:space="preserve"> = </t>
    </r>
  </si>
  <si>
    <r>
      <t>R</t>
    </r>
    <r>
      <rPr>
        <vertAlign val="subscript"/>
        <sz val="10"/>
        <rFont val="Calibri"/>
        <family val="2"/>
      </rPr>
      <t xml:space="preserve">BG-BIO(T) </t>
    </r>
    <r>
      <rPr>
        <sz val="10"/>
        <rFont val="Calibri"/>
        <family val="2"/>
      </rPr>
      <t xml:space="preserve">= </t>
    </r>
  </si>
  <si>
    <r>
      <t>N</t>
    </r>
    <r>
      <rPr>
        <b/>
        <vertAlign val="subscript"/>
        <sz val="10"/>
        <rFont val="Calibri"/>
        <family val="2"/>
      </rPr>
      <t>2</t>
    </r>
    <r>
      <rPr>
        <b/>
        <sz val="10"/>
        <rFont val="Calibri"/>
        <family val="2"/>
      </rPr>
      <t>O</t>
    </r>
    <r>
      <rPr>
        <b/>
        <vertAlign val="subscript"/>
        <sz val="10"/>
        <rFont val="Calibri"/>
        <family val="2"/>
      </rPr>
      <t>(ATD)</t>
    </r>
    <r>
      <rPr>
        <b/>
        <sz val="10"/>
        <rFont val="Calibri"/>
        <family val="2"/>
      </rPr>
      <t>-N</t>
    </r>
  </si>
  <si>
    <r>
      <t>N</t>
    </r>
    <r>
      <rPr>
        <b/>
        <vertAlign val="subscript"/>
        <sz val="10"/>
        <rFont val="Calibri"/>
        <family val="2"/>
      </rPr>
      <t>2</t>
    </r>
    <r>
      <rPr>
        <b/>
        <sz val="10"/>
        <rFont val="Calibri"/>
        <family val="2"/>
      </rPr>
      <t>O</t>
    </r>
    <r>
      <rPr>
        <b/>
        <vertAlign val="subscript"/>
        <sz val="10"/>
        <rFont val="Calibri"/>
        <family val="2"/>
      </rPr>
      <t>(L)</t>
    </r>
    <r>
      <rPr>
        <b/>
        <sz val="10"/>
        <rFont val="Calibri"/>
        <family val="2"/>
      </rPr>
      <t>-N</t>
    </r>
  </si>
  <si>
    <r>
      <t>NH</t>
    </r>
    <r>
      <rPr>
        <vertAlign val="subscript"/>
        <sz val="10"/>
        <rFont val="Calibri"/>
        <family val="2"/>
      </rPr>
      <t>3</t>
    </r>
    <r>
      <rPr>
        <sz val="10"/>
        <rFont val="Calibri"/>
        <family val="2"/>
      </rPr>
      <t>_N (kg)</t>
    </r>
  </si>
  <si>
    <r>
      <t xml:space="preserve">Frac </t>
    </r>
    <r>
      <rPr>
        <vertAlign val="subscript"/>
        <sz val="10"/>
        <rFont val="Calibri"/>
        <family val="2"/>
      </rPr>
      <t>GASM</t>
    </r>
  </si>
  <si>
    <r>
      <t>NO</t>
    </r>
    <r>
      <rPr>
        <vertAlign val="subscript"/>
        <sz val="10"/>
        <rFont val="Calibri"/>
        <family val="2"/>
      </rPr>
      <t>3</t>
    </r>
    <r>
      <rPr>
        <sz val="10"/>
        <rFont val="Calibri"/>
        <family val="2"/>
      </rPr>
      <t>_N (kg)</t>
    </r>
  </si>
  <si>
    <r>
      <t xml:space="preserve">Frac </t>
    </r>
    <r>
      <rPr>
        <vertAlign val="subscript"/>
        <sz val="10"/>
        <rFont val="Calibri"/>
        <family val="2"/>
      </rPr>
      <t>GASF</t>
    </r>
  </si>
  <si>
    <r>
      <t>NH</t>
    </r>
    <r>
      <rPr>
        <b/>
        <vertAlign val="subscript"/>
        <sz val="10"/>
        <rFont val="Calibri"/>
        <family val="2"/>
      </rPr>
      <t>3</t>
    </r>
    <r>
      <rPr>
        <b/>
        <sz val="10"/>
        <rFont val="Calibri"/>
        <family val="2"/>
      </rPr>
      <t>&amp;NO</t>
    </r>
    <r>
      <rPr>
        <b/>
        <vertAlign val="subscript"/>
        <sz val="10"/>
        <rFont val="Calibri"/>
        <family val="2"/>
      </rPr>
      <t xml:space="preserve">x </t>
    </r>
  </si>
  <si>
    <r>
      <t xml:space="preserve">Frac </t>
    </r>
    <r>
      <rPr>
        <vertAlign val="subscript"/>
        <sz val="10"/>
        <rFont val="Calibri"/>
        <family val="2"/>
      </rPr>
      <t>LEACH(H)</t>
    </r>
  </si>
  <si>
    <r>
      <t>EF</t>
    </r>
    <r>
      <rPr>
        <b/>
        <vertAlign val="subscript"/>
        <sz val="10"/>
        <rFont val="Calibri"/>
        <family val="2"/>
      </rPr>
      <t>4</t>
    </r>
    <r>
      <rPr>
        <b/>
        <sz val="10"/>
        <rFont val="Calibri"/>
        <family val="2"/>
      </rPr>
      <t xml:space="preserve">   (%)</t>
    </r>
  </si>
  <si>
    <r>
      <t>NO</t>
    </r>
    <r>
      <rPr>
        <b/>
        <vertAlign val="subscript"/>
        <sz val="10"/>
        <rFont val="Calibri"/>
        <family val="2"/>
      </rPr>
      <t>3</t>
    </r>
  </si>
  <si>
    <r>
      <t>EF</t>
    </r>
    <r>
      <rPr>
        <b/>
        <vertAlign val="subscript"/>
        <sz val="10"/>
        <rFont val="Calibri"/>
        <family val="2"/>
      </rPr>
      <t>5</t>
    </r>
    <r>
      <rPr>
        <b/>
        <sz val="10"/>
        <rFont val="Calibri"/>
        <family val="2"/>
      </rPr>
      <t xml:space="preserve">  (%)</t>
    </r>
  </si>
  <si>
    <r>
      <t>EF</t>
    </r>
    <r>
      <rPr>
        <vertAlign val="subscript"/>
        <sz val="10"/>
        <rFont val="Calibri"/>
        <family val="2"/>
      </rPr>
      <t>4</t>
    </r>
  </si>
  <si>
    <r>
      <t>EF</t>
    </r>
    <r>
      <rPr>
        <vertAlign val="subscript"/>
        <sz val="10"/>
        <rFont val="Calibri"/>
        <family val="2"/>
      </rPr>
      <t>5</t>
    </r>
  </si>
  <si>
    <r>
      <t>N</t>
    </r>
    <r>
      <rPr>
        <vertAlign val="subscript"/>
        <sz val="10"/>
        <rFont val="Calibri"/>
        <family val="2"/>
      </rPr>
      <t>2</t>
    </r>
    <r>
      <rPr>
        <sz val="10"/>
        <rFont val="Calibri"/>
        <family val="2"/>
      </rPr>
      <t>O(ATD)-N</t>
    </r>
  </si>
  <si>
    <r>
      <t>N</t>
    </r>
    <r>
      <rPr>
        <vertAlign val="subscript"/>
        <sz val="10"/>
        <rFont val="Calibri"/>
        <family val="2"/>
      </rPr>
      <t>2</t>
    </r>
    <r>
      <rPr>
        <sz val="10"/>
        <rFont val="Calibri"/>
        <family val="2"/>
      </rPr>
      <t>O(L)-N</t>
    </r>
  </si>
  <si>
    <r>
      <t>Cálculo de F</t>
    </r>
    <r>
      <rPr>
        <b/>
        <vertAlign val="subscript"/>
        <sz val="10"/>
        <rFont val="Calibri"/>
        <family val="2"/>
      </rPr>
      <t>CR</t>
    </r>
    <r>
      <rPr>
        <b/>
        <sz val="10"/>
        <rFont val="Calibri"/>
        <family val="2"/>
      </rPr>
      <t xml:space="preserve"> (cantidad anual de N en los residuos de cultivo que se devuelven al suelo, kg N yr-1)</t>
    </r>
  </si>
  <si>
    <r>
      <t xml:space="preserve">En las tablas de la parte derecha de esta hoja de cálculo se muestran los detalles y cálculos intermedios de la metodología IPCC tier 1. El término </t>
    </r>
    <r>
      <rPr>
        <b/>
        <sz val="10"/>
        <rFont val="Calibri"/>
        <family val="2"/>
      </rPr>
      <t>Eq 11.X</t>
    </r>
    <r>
      <rPr>
        <sz val="10"/>
        <rFont val="Calibri"/>
        <family val="2"/>
      </rPr>
      <t xml:space="preserve"> denota el número de la ecuación de la metodología IPCC (capítulo 11).  </t>
    </r>
  </si>
  <si>
    <r>
      <t>Algunos de los cultivos de la lista predefinida de la casilla C22 (en concreto trigo, maiz y soja) aparecen en la tabla 11.2 del documento del IPCC. Para estos cultivos, se han usado los parámetros que se listan en la tabla antes mencionada para calcular el término F</t>
    </r>
    <r>
      <rPr>
        <vertAlign val="subscript"/>
        <sz val="10"/>
        <rFont val="Calibri"/>
        <family val="2"/>
      </rPr>
      <t>CR</t>
    </r>
    <r>
      <rPr>
        <sz val="10"/>
        <rFont val="Calibri"/>
        <family val="2"/>
      </rPr>
      <t>.</t>
    </r>
  </si>
  <si>
    <r>
      <t>Esta hoja calcula las emisiones de N</t>
    </r>
    <r>
      <rPr>
        <vertAlign val="subscript"/>
        <sz val="10"/>
        <rFont val="Calibri"/>
        <family val="2"/>
      </rPr>
      <t>2</t>
    </r>
    <r>
      <rPr>
        <sz val="10"/>
        <rFont val="Calibri"/>
        <family val="2"/>
      </rPr>
      <t>O de la etapa de cultivo. Esta basada en la hoja que, con el mismo objetivo puede descargarse de www.biograce.net</t>
    </r>
  </si>
  <si>
    <r>
      <t>- En el caso de la palma, el término F</t>
    </r>
    <r>
      <rPr>
        <vertAlign val="subscript"/>
        <sz val="10"/>
        <rFont val="Calibri"/>
        <family val="2"/>
      </rPr>
      <t>CR</t>
    </r>
    <r>
      <rPr>
        <sz val="10"/>
        <rFont val="Calibri"/>
        <family val="2"/>
      </rPr>
      <t xml:space="preserve"> de aportaciones anuales de N de restos de cosecha se ha calculado -basado en las hipótesis de (6)- considerando las cantidades anuales (valor medio calculado con los valores anuales de toda la vida de la plantación) de residuos de cosecha (tuzas (EFB en inglés) y los restos de poda) que se devuelven al suelo asi como el contenido de N de dichos residuos. Estos valores se pueden cambiar por el usuario en las celdas C39 y C40 para las que se proporcionan unos valores por defecto. En este caso las ecuaciones 11.6 y 11.7 no se usan.</t>
    </r>
  </si>
  <si>
    <t>Otras emisiones directas</t>
  </si>
  <si>
    <t>En el caso de la caña de azúcar, se han considerado también las emisiones provenientes de la quema de los rastrojos. Estas emisiones se han calculado- basado en las hipótesis hechas en (8)- usando los valores de las celdas C46 a C51.</t>
  </si>
  <si>
    <t>Por favor introduzca los datos de sus cultivos en las celdas de fondo blanco</t>
  </si>
  <si>
    <t>Información general</t>
  </si>
  <si>
    <t>Nombre del cultivo</t>
  </si>
  <si>
    <t>Remolacha</t>
  </si>
  <si>
    <t>Trigo</t>
  </si>
  <si>
    <t>Caña de azúcar</t>
  </si>
  <si>
    <t>Colza</t>
  </si>
  <si>
    <t>Girasol</t>
  </si>
  <si>
    <t>Soja</t>
  </si>
  <si>
    <t>Palma</t>
  </si>
  <si>
    <t>Nuevo cultivo 1</t>
  </si>
  <si>
    <t>Nuevo cultivo 2</t>
  </si>
  <si>
    <t>Rendimiento cosecha (materia fresca)</t>
  </si>
  <si>
    <t>Humedad (%)</t>
  </si>
  <si>
    <t>Rendimiento cosecha (materia seca)</t>
  </si>
  <si>
    <r>
      <t xml:space="preserve">kg </t>
    </r>
    <r>
      <rPr>
        <vertAlign val="subscript"/>
        <sz val="10"/>
        <rFont val="Calibri"/>
        <family val="2"/>
      </rPr>
      <t>mf</t>
    </r>
    <r>
      <rPr>
        <sz val="10"/>
        <rFont val="Calibri"/>
        <family val="2"/>
      </rPr>
      <t>/ha/año</t>
    </r>
  </si>
  <si>
    <t xml:space="preserve">Materia fresca = </t>
  </si>
  <si>
    <t>mf</t>
  </si>
  <si>
    <t>Materia seca</t>
  </si>
  <si>
    <t>ms</t>
  </si>
  <si>
    <t>Tonelada</t>
  </si>
  <si>
    <r>
      <t>Masa de N en N</t>
    </r>
    <r>
      <rPr>
        <vertAlign val="subscript"/>
        <sz val="10"/>
        <rFont val="Calibri"/>
        <family val="2"/>
      </rPr>
      <t>2</t>
    </r>
    <r>
      <rPr>
        <sz val="10"/>
        <rFont val="Calibri"/>
        <family val="2"/>
      </rPr>
      <t>O</t>
    </r>
  </si>
  <si>
    <r>
      <t>N</t>
    </r>
    <r>
      <rPr>
        <vertAlign val="subscript"/>
        <sz val="10"/>
        <rFont val="Calibri"/>
        <family val="2"/>
      </rPr>
      <t>2</t>
    </r>
    <r>
      <rPr>
        <sz val="10"/>
        <rFont val="Calibri"/>
        <family val="2"/>
      </rPr>
      <t>O_N</t>
    </r>
  </si>
  <si>
    <t xml:space="preserve">Glosario de abreviaciones : </t>
  </si>
  <si>
    <t>No sabe</t>
  </si>
  <si>
    <t>si</t>
  </si>
  <si>
    <t>No aplica</t>
  </si>
  <si>
    <t>Indeterminado</t>
  </si>
  <si>
    <t>Bosque a Cultivable</t>
  </si>
  <si>
    <t>Pradera a Cultivable</t>
  </si>
  <si>
    <t>Cultivable a Cultivable</t>
  </si>
  <si>
    <t>Otros</t>
  </si>
  <si>
    <t>Carbono perdido debido al cambio de uso del suelo</t>
  </si>
  <si>
    <t>t C/ha/año</t>
  </si>
  <si>
    <r>
      <t xml:space="preserve">kg </t>
    </r>
    <r>
      <rPr>
        <vertAlign val="subscript"/>
        <sz val="10"/>
        <rFont val="Calibri"/>
        <family val="2"/>
      </rPr>
      <t>ms</t>
    </r>
    <r>
      <rPr>
        <sz val="10"/>
        <rFont val="Calibri"/>
        <family val="2"/>
      </rPr>
      <t>/ha/año</t>
    </r>
  </si>
  <si>
    <t>Use "Cultivable a Cultivable" en caso de mejora de la gestión agrícola</t>
  </si>
  <si>
    <t>agrícola y el valor que se obtenga (con signo positivo) ha de introducirse aquí</t>
  </si>
  <si>
    <t>Este dato aparece sólo cuando corresponde</t>
  </si>
  <si>
    <t>en la celda C22 (caña de azúcar o palma)</t>
  </si>
  <si>
    <t xml:space="preserve">Aparece un texto cuando se selecciona el cultivo apropiado </t>
  </si>
  <si>
    <r>
      <t>Por favor, rellene las celdas con fondo blanco de la columna C. El resultado del cálculo final se muestra en la celda F103 expresado en kg N</t>
    </r>
    <r>
      <rPr>
        <b/>
        <vertAlign val="subscript"/>
        <sz val="10"/>
        <rFont val="Calibri"/>
        <family val="2"/>
      </rPr>
      <t>2</t>
    </r>
    <r>
      <rPr>
        <b/>
        <sz val="10"/>
        <rFont val="Calibri"/>
        <family val="2"/>
      </rPr>
      <t>O / ha y año.</t>
    </r>
  </si>
  <si>
    <t>Para los cultivos que no aparecen en esta tabla, se han tenido que hacer algunas consideraciones tratando de ajustarse lo máximo posible a los cálculos realizados por el JRC (Renate Koeble, comunicación personal).</t>
  </si>
  <si>
    <t>- El parámetro Frac Renew(T) está fijado a 1 en las ecuaciones 11.6 y 11.7 (celda L57) que es el valor recomendado para cultivos anuales. Para pastos perennes que se renueven cada X años, FracRenew debería ser 1/X. Cuando se introduzca un pasto perenne de este tipo como un cultivo nuevo en esta hoja, el valor de la celda L57 se debe cambiar. En el caso de otros cultivos perennes que no aparecen en la tabla 11.2, se pueden hacer cálculos similares a los realizados en el caso de la palma.</t>
  </si>
  <si>
    <t xml:space="preserve">(2)Trinsoutrot, I.; Recous, S.; Mary, B.; Justes, E. and Nicolardot, B. (1999): C and N mineralisation of oilseed rape crop residues in soil. 10th International Rapeseed Congress, Canberra, Australia, 1999. http://www.regional.org.au/au/gcirc/2/344.htm#TopOfPage </t>
  </si>
  <si>
    <t>Maíz</t>
  </si>
  <si>
    <t>Glosario para las tablas 2, 3 y 4</t>
  </si>
  <si>
    <t xml:space="preserve">Para más detalles ver IPCC 2006, capítulo 11 </t>
  </si>
  <si>
    <t>Ratio entre residuos aéreos en materia seca (AGDM(T))</t>
  </si>
  <si>
    <t xml:space="preserve"> Ratio entre residuos subterráneos y rendimiento del cultivo T</t>
  </si>
  <si>
    <t>(c) RAC Residuo agrícola de la cosecha cañera</t>
  </si>
  <si>
    <r>
      <t>(b) Si la hoja E</t>
    </r>
    <r>
      <rPr>
        <vertAlign val="subscript"/>
        <sz val="9"/>
        <rFont val="Calibri"/>
        <family val="2"/>
      </rPr>
      <t>sca</t>
    </r>
    <r>
      <rPr>
        <sz val="9"/>
        <rFont val="Calibri"/>
        <family val="2"/>
      </rPr>
      <t xml:space="preserve"> da un valor negativo, hay una pérdida de debido al cambio de gestión</t>
    </r>
  </si>
  <si>
    <t>Ponga "si" cuando el cultivo sea de regadío ó cuando la precipitación en la época lluviosa (a) menos la evaporación potencial sea mayor que la capacidad de campo del suelo. Si no se sabe, se aplicará la lixiviación de nitratos media.</t>
  </si>
  <si>
    <t>(a) Epoca lluviosa: periodo con precipitación &gt; 0.5 * Evaporación potencial</t>
  </si>
  <si>
    <t>Información específica en el caso de Cambio de Uso del Suelo o Mejora de la Gestión Agrícola</t>
  </si>
  <si>
    <t xml:space="preserve">¿Qué cambio de uso del suelo se ha producido? </t>
  </si>
  <si>
    <t xml:space="preserve"> o C incrementado por mejora de la gestión agrícola (introducido aquí con signo negativo) (b)</t>
  </si>
  <si>
    <t>Información específica para algunos cultivos</t>
  </si>
  <si>
    <r>
      <t>Emisiones directas de N</t>
    </r>
    <r>
      <rPr>
        <b/>
        <u val="single"/>
        <vertAlign val="subscript"/>
        <sz val="10"/>
        <rFont val="Calibri"/>
        <family val="2"/>
      </rPr>
      <t>2</t>
    </r>
    <r>
      <rPr>
        <b/>
        <u val="single"/>
        <sz val="10"/>
        <rFont val="Calibri"/>
        <family val="2"/>
      </rPr>
      <t>O TOTALES</t>
    </r>
  </si>
  <si>
    <r>
      <t>Factor de emisión para volatilización de NH</t>
    </r>
    <r>
      <rPr>
        <vertAlign val="subscript"/>
        <sz val="10"/>
        <rFont val="Calibri"/>
        <family val="2"/>
      </rPr>
      <t>3</t>
    </r>
    <r>
      <rPr>
        <sz val="10"/>
        <rFont val="Calibri"/>
        <family val="2"/>
      </rPr>
      <t xml:space="preserve"> (IPCC Tier 1): </t>
    </r>
  </si>
  <si>
    <t>Factor de emisión para lixiviación de nitratos (IPCC Tier 1):</t>
  </si>
  <si>
    <t>por MJ de cultivo</t>
  </si>
  <si>
    <t>Cebada</t>
  </si>
  <si>
    <t>Sorgo</t>
  </si>
  <si>
    <r>
      <t xml:space="preserve">En esta hoja hay disponibles datos de 9 cultivos. </t>
    </r>
    <r>
      <rPr>
        <u val="single"/>
        <sz val="10"/>
        <rFont val="Calibri"/>
        <family val="2"/>
      </rPr>
      <t>Tenga en cuenta que se pueden añadir otros cultivos rellenando las tablas 1 y 4.</t>
    </r>
  </si>
  <si>
    <t>¿La saturación de agua en el suelo es alta ?</t>
  </si>
  <si>
    <r>
      <t>Fracción del N del fertilizante orgánico aportado (F</t>
    </r>
    <r>
      <rPr>
        <vertAlign val="subscript"/>
        <sz val="10"/>
        <rFont val="Calibri"/>
        <family val="2"/>
      </rPr>
      <t>ON</t>
    </r>
    <r>
      <rPr>
        <sz val="10"/>
        <rFont val="Calibri"/>
        <family val="2"/>
      </rPr>
      <t>) que se volatiliza como NH</t>
    </r>
    <r>
      <rPr>
        <vertAlign val="subscript"/>
        <sz val="10"/>
        <rFont val="Calibri"/>
        <family val="2"/>
      </rPr>
      <t>3</t>
    </r>
    <r>
      <rPr>
        <sz val="10"/>
        <rFont val="Calibri"/>
        <family val="2"/>
      </rPr>
      <t xml:space="preserve"> y NO</t>
    </r>
    <r>
      <rPr>
        <vertAlign val="subscript"/>
        <sz val="10"/>
        <rFont val="Calibri"/>
        <family val="2"/>
      </rPr>
      <t>x</t>
    </r>
    <r>
      <rPr>
        <sz val="10"/>
        <rFont val="Calibri"/>
        <family val="2"/>
      </rPr>
      <t>, en kg N volatilizado</t>
    </r>
  </si>
  <si>
    <r>
      <t>Fracción del N del fertilizante sintético (F</t>
    </r>
    <r>
      <rPr>
        <vertAlign val="subscript"/>
        <sz val="10"/>
        <rFont val="Calibri"/>
        <family val="2"/>
      </rPr>
      <t>SN</t>
    </r>
    <r>
      <rPr>
        <sz val="10"/>
        <rFont val="Calibri"/>
        <family val="2"/>
      </rPr>
      <t>) que se volatiliza como NH</t>
    </r>
    <r>
      <rPr>
        <vertAlign val="subscript"/>
        <sz val="10"/>
        <rFont val="Calibri"/>
        <family val="2"/>
      </rPr>
      <t>3</t>
    </r>
    <r>
      <rPr>
        <sz val="10"/>
        <rFont val="Calibri"/>
        <family val="2"/>
      </rPr>
      <t xml:space="preserve"> y NO</t>
    </r>
    <r>
      <rPr>
        <vertAlign val="subscript"/>
        <sz val="10"/>
        <rFont val="Calibri"/>
        <family val="2"/>
      </rPr>
      <t>x</t>
    </r>
    <r>
      <rPr>
        <sz val="10"/>
        <rFont val="Calibri"/>
        <family val="2"/>
      </rPr>
      <t xml:space="preserve">, kg N volatilizado (kg de N aplicado)-1 </t>
    </r>
  </si>
</sst>
</file>

<file path=xl/styles.xml><?xml version="1.0" encoding="utf-8"?>
<styleSheet xmlns="http://schemas.openxmlformats.org/spreadsheetml/2006/main">
  <numFmts count="1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0%"/>
    <numFmt numFmtId="165" formatCode="#,##0.000"/>
    <numFmt numFmtId="166" formatCode="0.0000"/>
    <numFmt numFmtId="167" formatCode="0.000"/>
    <numFmt numFmtId="168" formatCode="0.0"/>
  </numFmts>
  <fonts count="61">
    <font>
      <sz val="10"/>
      <name val="Arial"/>
      <family val="0"/>
    </font>
    <font>
      <sz val="10"/>
      <name val="Calibri"/>
      <family val="2"/>
    </font>
    <font>
      <u val="single"/>
      <sz val="10"/>
      <color indexed="12"/>
      <name val="Arial"/>
      <family val="2"/>
    </font>
    <font>
      <sz val="8"/>
      <name val="Tahoma"/>
      <family val="2"/>
    </font>
    <font>
      <b/>
      <sz val="14"/>
      <name val="Calibri"/>
      <family val="2"/>
    </font>
    <font>
      <b/>
      <vertAlign val="subscript"/>
      <sz val="14"/>
      <name val="Calibri"/>
      <family val="2"/>
    </font>
    <font>
      <b/>
      <sz val="10"/>
      <name val="Calibri"/>
      <family val="2"/>
    </font>
    <font>
      <b/>
      <sz val="12"/>
      <name val="Calibri"/>
      <family val="2"/>
    </font>
    <font>
      <u val="single"/>
      <sz val="10"/>
      <name val="Calibri"/>
      <family val="2"/>
    </font>
    <font>
      <b/>
      <u val="single"/>
      <sz val="10"/>
      <name val="Calibri"/>
      <family val="2"/>
    </font>
    <font>
      <b/>
      <vertAlign val="subscript"/>
      <sz val="10"/>
      <name val="Calibri"/>
      <family val="2"/>
    </font>
    <font>
      <vertAlign val="subscript"/>
      <sz val="10"/>
      <name val="Calibri"/>
      <family val="2"/>
    </font>
    <font>
      <i/>
      <sz val="10"/>
      <name val="Calibri"/>
      <family val="2"/>
    </font>
    <font>
      <sz val="9"/>
      <name val="Calibri"/>
      <family val="2"/>
    </font>
    <font>
      <vertAlign val="superscript"/>
      <sz val="10"/>
      <name val="Calibri"/>
      <family val="2"/>
    </font>
    <font>
      <b/>
      <vertAlign val="subscript"/>
      <sz val="12"/>
      <name val="Calibri"/>
      <family val="2"/>
    </font>
    <font>
      <b/>
      <u val="single"/>
      <vertAlign val="subscript"/>
      <sz val="10"/>
      <name val="Calibri"/>
      <family val="2"/>
    </font>
    <font>
      <sz val="8"/>
      <name val="Arial"/>
      <family val="0"/>
    </font>
    <font>
      <u val="single"/>
      <sz val="10"/>
      <color indexed="36"/>
      <name val="Arial"/>
      <family val="0"/>
    </font>
    <font>
      <vertAlign val="subscript"/>
      <sz val="9"/>
      <name val="Calibri"/>
      <family val="2"/>
    </font>
    <font>
      <b/>
      <sz val="14"/>
      <color indexed="9"/>
      <name val="Calibri"/>
      <family val="2"/>
    </font>
    <font>
      <b/>
      <vertAlign val="subscript"/>
      <sz val="14"/>
      <color indexed="9"/>
      <name val="Calibri"/>
      <family val="2"/>
    </font>
    <font>
      <sz val="14"/>
      <color indexed="9"/>
      <name val="Calibri"/>
      <family val="2"/>
    </font>
    <font>
      <sz val="10"/>
      <color indexed="9"/>
      <name val="Calibri"/>
      <family val="2"/>
    </font>
    <font>
      <sz val="10"/>
      <color indexed="10"/>
      <name val="Arial"/>
      <family val="2"/>
    </font>
    <font>
      <b/>
      <sz val="24"/>
      <color indexed="5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4"/>
        <bgColor indexed="64"/>
      </patternFill>
    </fill>
    <fill>
      <patternFill patternType="solid">
        <fgColor indexed="50"/>
        <bgColor indexed="64"/>
      </patternFill>
    </fill>
    <fill>
      <patternFill patternType="solid">
        <fgColor indexed="17"/>
        <bgColor indexed="64"/>
      </patternFill>
    </fill>
    <fill>
      <patternFill patternType="solid">
        <fgColor indexed="51"/>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style="thin">
        <color indexed="18"/>
      </right>
      <top>
        <color indexed="63"/>
      </top>
      <bottom>
        <color indexed="63"/>
      </bottom>
    </border>
    <border>
      <left>
        <color indexed="63"/>
      </left>
      <right>
        <color indexed="63"/>
      </right>
      <top>
        <color indexed="63"/>
      </top>
      <bottom style="thin">
        <color indexed="18"/>
      </bottom>
    </border>
    <border>
      <left>
        <color indexed="63"/>
      </left>
      <right style="thin">
        <color indexed="62"/>
      </right>
      <top>
        <color indexed="63"/>
      </top>
      <bottom style="thin">
        <color indexed="18"/>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style="thin">
        <color indexed="62"/>
      </top>
      <bottom>
        <color indexed="63"/>
      </botto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thin">
        <color indexed="12"/>
      </bottom>
    </border>
    <border>
      <left>
        <color indexed="63"/>
      </left>
      <right>
        <color indexed="63"/>
      </right>
      <top style="thin">
        <color indexed="12"/>
      </top>
      <bottom>
        <color indexed="63"/>
      </bottom>
    </border>
    <border>
      <left style="thin">
        <color indexed="62"/>
      </left>
      <right style="thin">
        <color indexed="62"/>
      </right>
      <top style="thin">
        <color indexed="62"/>
      </top>
      <bottom>
        <color indexed="63"/>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color indexed="63"/>
      </top>
      <bottom>
        <color indexed="63"/>
      </bottom>
    </border>
    <border>
      <left style="thin">
        <color indexed="18"/>
      </left>
      <right>
        <color indexed="63"/>
      </right>
      <top style="thin">
        <color indexed="18"/>
      </top>
      <bottom>
        <color indexed="63"/>
      </bottom>
    </border>
    <border>
      <left style="thin">
        <color indexed="62"/>
      </left>
      <right>
        <color indexed="63"/>
      </right>
      <top>
        <color indexed="63"/>
      </top>
      <bottom style="thin">
        <color indexed="1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99">
    <xf numFmtId="0" fontId="0" fillId="0" borderId="0" xfId="0" applyAlignment="1">
      <alignment/>
    </xf>
    <xf numFmtId="0" fontId="1" fillId="33" borderId="0" xfId="0" applyFont="1" applyFill="1" applyBorder="1" applyAlignment="1" applyProtection="1">
      <alignment/>
      <protection locked="0"/>
    </xf>
    <xf numFmtId="0" fontId="1" fillId="33" borderId="0" xfId="0" applyFont="1" applyFill="1" applyBorder="1" applyAlignment="1" applyProtection="1">
      <alignment vertical="center"/>
      <protection locked="0"/>
    </xf>
    <xf numFmtId="0" fontId="1" fillId="33" borderId="10" xfId="0"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vertical="center"/>
      <protection locked="0"/>
    </xf>
    <xf numFmtId="0" fontId="1" fillId="0" borderId="0" xfId="0" applyFont="1" applyAlignment="1" applyProtection="1">
      <alignment/>
      <protection locked="0"/>
    </xf>
    <xf numFmtId="0" fontId="1" fillId="33" borderId="12" xfId="0" applyFont="1" applyFill="1" applyBorder="1" applyAlignment="1" applyProtection="1">
      <alignment vertical="center"/>
      <protection locked="0"/>
    </xf>
    <xf numFmtId="0" fontId="1" fillId="33" borderId="13" xfId="0" applyFont="1" applyFill="1" applyBorder="1" applyAlignment="1" applyProtection="1">
      <alignment vertical="center"/>
      <protection locked="0"/>
    </xf>
    <xf numFmtId="0" fontId="1" fillId="33" borderId="14" xfId="0" applyFont="1" applyFill="1" applyBorder="1" applyAlignment="1" applyProtection="1">
      <alignment vertical="center"/>
      <protection locked="0"/>
    </xf>
    <xf numFmtId="2" fontId="1" fillId="0" borderId="0" xfId="0" applyNumberFormat="1" applyFont="1" applyAlignment="1" applyProtection="1">
      <alignment vertical="center"/>
      <protection locked="0"/>
    </xf>
    <xf numFmtId="0" fontId="1" fillId="33" borderId="15" xfId="0" applyFont="1" applyFill="1" applyBorder="1" applyAlignment="1" applyProtection="1">
      <alignment/>
      <protection locked="0"/>
    </xf>
    <xf numFmtId="0" fontId="1" fillId="33" borderId="16" xfId="0" applyFont="1" applyFill="1" applyBorder="1" applyAlignment="1" applyProtection="1">
      <alignment/>
      <protection locked="0"/>
    </xf>
    <xf numFmtId="0" fontId="1" fillId="33" borderId="17" xfId="0" applyFont="1" applyFill="1" applyBorder="1" applyAlignment="1" applyProtection="1">
      <alignment vertical="center"/>
      <protection locked="0"/>
    </xf>
    <xf numFmtId="0" fontId="1" fillId="33" borderId="18" xfId="0" applyFont="1" applyFill="1" applyBorder="1" applyAlignment="1" applyProtection="1">
      <alignment vertical="center"/>
      <protection locked="0"/>
    </xf>
    <xf numFmtId="0" fontId="1" fillId="33" borderId="19" xfId="0" applyFont="1" applyFill="1" applyBorder="1" applyAlignment="1" applyProtection="1">
      <alignment vertical="center"/>
      <protection locked="0"/>
    </xf>
    <xf numFmtId="0" fontId="1" fillId="0" borderId="0" xfId="0" applyFont="1" applyFill="1" applyAlignment="1" applyProtection="1">
      <alignment/>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protection locked="0"/>
    </xf>
    <xf numFmtId="0" fontId="1" fillId="33" borderId="20" xfId="0" applyFont="1" applyFill="1" applyBorder="1" applyAlignment="1" applyProtection="1">
      <alignment horizontal="left"/>
      <protection locked="0"/>
    </xf>
    <xf numFmtId="0" fontId="1" fillId="33" borderId="0" xfId="0" applyFont="1" applyFill="1" applyBorder="1" applyAlignment="1" applyProtection="1">
      <alignment horizontal="left"/>
      <protection locked="0"/>
    </xf>
    <xf numFmtId="0" fontId="1" fillId="33" borderId="21" xfId="0" applyFont="1" applyFill="1" applyBorder="1" applyAlignment="1" applyProtection="1">
      <alignment/>
      <protection locked="0"/>
    </xf>
    <xf numFmtId="0" fontId="1" fillId="33" borderId="20" xfId="0" applyFont="1" applyFill="1" applyBorder="1" applyAlignment="1" applyProtection="1">
      <alignment vertical="center"/>
      <protection locked="0"/>
    </xf>
    <xf numFmtId="0" fontId="8" fillId="33" borderId="0" xfId="47" applyFont="1" applyFill="1" applyBorder="1" applyAlignment="1" applyProtection="1">
      <alignment vertical="center"/>
      <protection locked="0"/>
    </xf>
    <xf numFmtId="0" fontId="1" fillId="33" borderId="21" xfId="0" applyFont="1" applyFill="1" applyBorder="1" applyAlignment="1" applyProtection="1">
      <alignment vertical="center"/>
      <protection locked="0"/>
    </xf>
    <xf numFmtId="0" fontId="8" fillId="0" borderId="0" xfId="47" applyFont="1" applyFill="1" applyAlignment="1" applyProtection="1">
      <alignment vertical="center"/>
      <protection locked="0"/>
    </xf>
    <xf numFmtId="0" fontId="6" fillId="33" borderId="20" xfId="0" applyFont="1" applyFill="1" applyBorder="1" applyAlignment="1" applyProtection="1">
      <alignment horizontal="left" vertical="center"/>
      <protection locked="0"/>
    </xf>
    <xf numFmtId="0" fontId="1" fillId="33" borderId="0" xfId="0" applyFont="1" applyFill="1" applyBorder="1" applyAlignment="1" applyProtection="1" quotePrefix="1">
      <alignment horizontal="left" vertical="center" wrapText="1"/>
      <protection locked="0"/>
    </xf>
    <xf numFmtId="0" fontId="1" fillId="33" borderId="0" xfId="0" applyFont="1" applyFill="1" applyBorder="1" applyAlignment="1" applyProtection="1" quotePrefix="1">
      <alignment vertical="center" wrapText="1"/>
      <protection locked="0"/>
    </xf>
    <xf numFmtId="0" fontId="1" fillId="0" borderId="0" xfId="0" applyFont="1" applyFill="1" applyAlignment="1" applyProtection="1" quotePrefix="1">
      <alignment vertical="center" wrapText="1"/>
      <protection locked="0"/>
    </xf>
    <xf numFmtId="0" fontId="8" fillId="33" borderId="18" xfId="47"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12" fillId="33" borderId="22" xfId="0" applyFont="1" applyFill="1" applyBorder="1" applyAlignment="1" applyProtection="1">
      <alignment vertical="center"/>
      <protection locked="0"/>
    </xf>
    <xf numFmtId="0" fontId="9" fillId="33" borderId="20" xfId="0" applyFont="1" applyFill="1" applyBorder="1" applyAlignment="1" applyProtection="1">
      <alignment vertical="center"/>
      <protection locked="0"/>
    </xf>
    <xf numFmtId="0" fontId="1" fillId="33" borderId="0" xfId="0" applyFont="1" applyFill="1" applyBorder="1" applyAlignment="1" applyProtection="1">
      <alignment horizontal="left" vertical="center"/>
      <protection locked="0"/>
    </xf>
    <xf numFmtId="0" fontId="1" fillId="33" borderId="0" xfId="0" applyFont="1" applyFill="1" applyAlignment="1" applyProtection="1">
      <alignment/>
      <protection locked="0"/>
    </xf>
    <xf numFmtId="0" fontId="9" fillId="33" borderId="20"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right" vertical="center" wrapText="1"/>
      <protection locked="0"/>
    </xf>
    <xf numFmtId="1" fontId="1" fillId="0" borderId="23"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wrapText="1" indent="1"/>
      <protection locked="0"/>
    </xf>
    <xf numFmtId="0" fontId="1" fillId="33" borderId="0" xfId="0" applyFont="1" applyFill="1" applyBorder="1" applyAlignment="1" applyProtection="1">
      <alignment vertical="center" wrapText="1"/>
      <protection locked="0"/>
    </xf>
    <xf numFmtId="0" fontId="1" fillId="33" borderId="21"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33" borderId="20" xfId="0" applyFont="1" applyFill="1" applyBorder="1" applyAlignment="1" applyProtection="1">
      <alignment horizontal="center"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wrapText="1"/>
      <protection locked="0"/>
    </xf>
    <xf numFmtId="0" fontId="1" fillId="33" borderId="20" xfId="0" applyFont="1" applyFill="1" applyBorder="1" applyAlignment="1" applyProtection="1">
      <alignment horizontal="right" vertical="center"/>
      <protection locked="0"/>
    </xf>
    <xf numFmtId="0" fontId="1" fillId="33" borderId="0" xfId="0" applyFont="1" applyFill="1" applyBorder="1" applyAlignment="1" applyProtection="1">
      <alignment horizontal="right" vertical="center"/>
      <protection locked="0"/>
    </xf>
    <xf numFmtId="3" fontId="1" fillId="0" borderId="24"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indent="1"/>
      <protection locked="0"/>
    </xf>
    <xf numFmtId="0" fontId="1" fillId="34" borderId="12" xfId="0" applyFont="1" applyFill="1" applyBorder="1" applyAlignment="1" applyProtection="1">
      <alignment vertical="center"/>
      <protection locked="0"/>
    </xf>
    <xf numFmtId="0" fontId="1" fillId="34" borderId="13" xfId="0" applyFont="1" applyFill="1" applyBorder="1" applyAlignment="1" applyProtection="1">
      <alignment vertical="center"/>
      <protection locked="0"/>
    </xf>
    <xf numFmtId="0" fontId="1" fillId="34" borderId="14" xfId="0" applyFont="1" applyFill="1" applyBorder="1" applyAlignment="1" applyProtection="1">
      <alignment vertical="center"/>
      <protection locked="0"/>
    </xf>
    <xf numFmtId="164" fontId="1" fillId="0" borderId="24" xfId="0" applyNumberFormat="1" applyFont="1" applyFill="1" applyBorder="1" applyAlignment="1" applyProtection="1">
      <alignment horizontal="center" vertical="center" wrapText="1"/>
      <protection locked="0"/>
    </xf>
    <xf numFmtId="1" fontId="1" fillId="33" borderId="25" xfId="0" applyNumberFormat="1" applyFont="1" applyFill="1" applyBorder="1" applyAlignment="1" applyProtection="1">
      <alignment horizontal="center" vertical="center"/>
      <protection locked="0"/>
    </xf>
    <xf numFmtId="0" fontId="1" fillId="33" borderId="20" xfId="0" applyFont="1" applyFill="1" applyBorder="1" applyAlignment="1" applyProtection="1">
      <alignment horizontal="right" vertical="center" wrapText="1"/>
      <protection locked="0"/>
    </xf>
    <xf numFmtId="0" fontId="1" fillId="33" borderId="20" xfId="0" applyFont="1" applyFill="1" applyBorder="1" applyAlignment="1" applyProtection="1">
      <alignment vertical="center" wrapText="1"/>
      <protection locked="0"/>
    </xf>
    <xf numFmtId="0" fontId="13" fillId="33" borderId="0" xfId="0" applyFont="1" applyFill="1" applyBorder="1" applyAlignment="1" applyProtection="1">
      <alignment vertical="center"/>
      <protection locked="0"/>
    </xf>
    <xf numFmtId="0" fontId="9" fillId="33" borderId="22" xfId="0" applyFont="1" applyFill="1" applyBorder="1" applyAlignment="1" applyProtection="1">
      <alignment horizontal="left" vertical="center"/>
      <protection locked="0"/>
    </xf>
    <xf numFmtId="0" fontId="1" fillId="33" borderId="10" xfId="0" applyFont="1" applyFill="1" applyBorder="1" applyAlignment="1" applyProtection="1">
      <alignment horizontal="center" vertical="center"/>
      <protection locked="0"/>
    </xf>
    <xf numFmtId="0" fontId="13" fillId="33" borderId="10" xfId="0" applyFont="1" applyFill="1" applyBorder="1" applyAlignment="1" applyProtection="1">
      <alignment vertical="center"/>
      <protection locked="0"/>
    </xf>
    <xf numFmtId="1" fontId="1" fillId="0" borderId="23" xfId="0" applyNumberFormat="1" applyFont="1" applyFill="1" applyBorder="1" applyAlignment="1" applyProtection="1">
      <alignment horizontal="left" vertical="center"/>
      <protection locked="0"/>
    </xf>
    <xf numFmtId="0" fontId="8" fillId="33" borderId="0" xfId="45" applyFont="1" applyFill="1" applyBorder="1" applyAlignment="1" applyProtection="1">
      <alignment vertical="center"/>
      <protection locked="0"/>
    </xf>
    <xf numFmtId="0" fontId="1" fillId="33" borderId="12" xfId="0" applyFont="1" applyFill="1" applyBorder="1" applyAlignment="1" applyProtection="1">
      <alignment vertical="center" wrapText="1"/>
      <protection locked="0"/>
    </xf>
    <xf numFmtId="0" fontId="1" fillId="33" borderId="13" xfId="0" applyFont="1" applyFill="1" applyBorder="1" applyAlignment="1" applyProtection="1">
      <alignment horizontal="center" vertical="center"/>
      <protection locked="0"/>
    </xf>
    <xf numFmtId="0" fontId="8" fillId="33" borderId="13" xfId="45" applyFont="1" applyFill="1" applyBorder="1" applyAlignment="1" applyProtection="1">
      <alignment vertical="center"/>
      <protection locked="0"/>
    </xf>
    <xf numFmtId="0" fontId="1" fillId="33" borderId="10" xfId="0" applyFont="1" applyFill="1" applyBorder="1" applyAlignment="1" applyProtection="1">
      <alignment horizontal="right" vertical="center"/>
      <protection locked="0"/>
    </xf>
    <xf numFmtId="0" fontId="1" fillId="33" borderId="10"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indent="1"/>
      <protection locked="0"/>
    </xf>
    <xf numFmtId="0" fontId="9" fillId="33" borderId="20" xfId="0" applyFont="1" applyFill="1" applyBorder="1" applyAlignment="1" applyProtection="1">
      <alignment horizontal="left" vertical="center"/>
      <protection locked="0"/>
    </xf>
    <xf numFmtId="0" fontId="9" fillId="33" borderId="20" xfId="0" applyFont="1" applyFill="1" applyBorder="1" applyAlignment="1" applyProtection="1">
      <alignment horizontal="center" vertical="center"/>
      <protection locked="0"/>
    </xf>
    <xf numFmtId="0" fontId="1" fillId="33" borderId="20" xfId="0" applyFont="1" applyFill="1" applyBorder="1" applyAlignment="1" applyProtection="1">
      <alignment horizontal="left" vertical="center"/>
      <protection locked="0"/>
    </xf>
    <xf numFmtId="2" fontId="1" fillId="0" borderId="23" xfId="0" applyNumberFormat="1" applyFont="1" applyFill="1" applyBorder="1" applyAlignment="1" applyProtection="1">
      <alignment horizontal="center" vertical="center"/>
      <protection locked="0"/>
    </xf>
    <xf numFmtId="165" fontId="1" fillId="0" borderId="24" xfId="0" applyNumberFormat="1" applyFont="1" applyFill="1" applyBorder="1" applyAlignment="1" applyProtection="1">
      <alignment horizontal="center" vertical="center"/>
      <protection locked="0"/>
    </xf>
    <xf numFmtId="1" fontId="1" fillId="33" borderId="0" xfId="0" applyNumberFormat="1" applyFont="1" applyFill="1" applyBorder="1" applyAlignment="1" applyProtection="1">
      <alignment vertical="center"/>
      <protection locked="0"/>
    </xf>
    <xf numFmtId="4" fontId="1" fillId="0" borderId="24" xfId="0" applyNumberFormat="1" applyFont="1" applyFill="1" applyBorder="1" applyAlignment="1" applyProtection="1">
      <alignment horizontal="center" vertical="center"/>
      <protection locked="0"/>
    </xf>
    <xf numFmtId="9" fontId="1" fillId="0" borderId="24" xfId="55" applyFont="1" applyFill="1" applyBorder="1" applyAlignment="1" applyProtection="1">
      <alignment horizontal="center" vertical="center"/>
      <protection locked="0"/>
    </xf>
    <xf numFmtId="0" fontId="1" fillId="33" borderId="12" xfId="0" applyFont="1" applyFill="1" applyBorder="1" applyAlignment="1" applyProtection="1">
      <alignment horizontal="right" vertical="center"/>
      <protection locked="0"/>
    </xf>
    <xf numFmtId="0" fontId="1" fillId="33" borderId="13" xfId="0" applyFont="1" applyFill="1" applyBorder="1" applyAlignment="1" applyProtection="1">
      <alignment horizontal="right" vertical="center"/>
      <protection locked="0"/>
    </xf>
    <xf numFmtId="0" fontId="1" fillId="33" borderId="13" xfId="0" applyFont="1" applyFill="1" applyBorder="1" applyAlignment="1" applyProtection="1">
      <alignment horizontal="left" vertical="center" indent="1"/>
      <protection locked="0"/>
    </xf>
    <xf numFmtId="0" fontId="14" fillId="0" borderId="0" xfId="0" applyFont="1" applyFill="1" applyAlignment="1" applyProtection="1">
      <alignment vertical="center"/>
      <protection locked="0"/>
    </xf>
    <xf numFmtId="0" fontId="1" fillId="33" borderId="22"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locked="0"/>
    </xf>
    <xf numFmtId="1" fontId="1" fillId="33" borderId="10" xfId="0" applyNumberFormat="1"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166" fontId="1" fillId="33" borderId="22" xfId="0" applyNumberFormat="1" applyFont="1" applyFill="1" applyBorder="1" applyAlignment="1" applyProtection="1">
      <alignment horizontal="center" vertical="center"/>
      <protection locked="0"/>
    </xf>
    <xf numFmtId="2" fontId="1" fillId="33" borderId="10" xfId="0" applyNumberFormat="1" applyFont="1" applyFill="1" applyBorder="1" applyAlignment="1" applyProtection="1">
      <alignment horizontal="center" vertical="center"/>
      <protection locked="0"/>
    </xf>
    <xf numFmtId="166" fontId="1" fillId="33" borderId="10" xfId="0" applyNumberFormat="1" applyFont="1" applyFill="1" applyBorder="1" applyAlignment="1" applyProtection="1">
      <alignment horizontal="center" vertical="center"/>
      <protection locked="0"/>
    </xf>
    <xf numFmtId="2" fontId="1" fillId="33" borderId="26" xfId="0" applyNumberFormat="1" applyFont="1" applyFill="1" applyBorder="1" applyAlignment="1" applyProtection="1">
      <alignment horizontal="center" vertical="center"/>
      <protection locked="0"/>
    </xf>
    <xf numFmtId="0" fontId="1" fillId="33" borderId="21" xfId="0" applyFont="1" applyFill="1" applyBorder="1" applyAlignment="1" applyProtection="1">
      <alignment/>
      <protection locked="0"/>
    </xf>
    <xf numFmtId="1" fontId="1" fillId="33" borderId="0" xfId="0" applyNumberFormat="1" applyFont="1" applyFill="1" applyBorder="1" applyAlignment="1" applyProtection="1">
      <alignment horizontal="center" vertical="center"/>
      <protection locked="0"/>
    </xf>
    <xf numFmtId="0" fontId="1" fillId="33" borderId="21" xfId="0" applyFont="1" applyFill="1" applyBorder="1" applyAlignment="1" applyProtection="1">
      <alignment horizontal="center" vertical="center"/>
      <protection locked="0"/>
    </xf>
    <xf numFmtId="167" fontId="1" fillId="33" borderId="0" xfId="0" applyNumberFormat="1" applyFont="1" applyFill="1" applyBorder="1" applyAlignment="1" applyProtection="1">
      <alignment vertical="center"/>
      <protection locked="0"/>
    </xf>
    <xf numFmtId="0" fontId="1" fillId="33" borderId="12" xfId="0" applyFont="1" applyFill="1" applyBorder="1" applyAlignment="1" applyProtection="1">
      <alignment horizontal="center" vertical="center"/>
      <protection locked="0"/>
    </xf>
    <xf numFmtId="1" fontId="1" fillId="33" borderId="13" xfId="0" applyNumberFormat="1"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1" fillId="0" borderId="0" xfId="0" applyNumberFormat="1" applyFont="1" applyFill="1" applyAlignment="1" applyProtection="1">
      <alignment/>
      <protection locked="0"/>
    </xf>
    <xf numFmtId="2" fontId="1" fillId="33" borderId="0" xfId="0" applyNumberFormat="1" applyFont="1" applyFill="1" applyBorder="1" applyAlignment="1" applyProtection="1">
      <alignment horizontal="center" vertical="center"/>
      <protection locked="0"/>
    </xf>
    <xf numFmtId="2" fontId="1" fillId="33" borderId="0" xfId="0" applyNumberFormat="1" applyFont="1" applyFill="1" applyBorder="1" applyAlignment="1" applyProtection="1">
      <alignment vertical="center"/>
      <protection locked="0"/>
    </xf>
    <xf numFmtId="0" fontId="12" fillId="34" borderId="27" xfId="0" applyFont="1" applyFill="1" applyBorder="1" applyAlignment="1" applyProtection="1">
      <alignment vertical="center"/>
      <protection locked="0"/>
    </xf>
    <xf numFmtId="0" fontId="12" fillId="34" borderId="28" xfId="0" applyFont="1" applyFill="1" applyBorder="1" applyAlignment="1" applyProtection="1">
      <alignment/>
      <protection locked="0"/>
    </xf>
    <xf numFmtId="0" fontId="12" fillId="34" borderId="29" xfId="0" applyFont="1" applyFill="1" applyBorder="1" applyAlignment="1" applyProtection="1">
      <alignment/>
      <protection locked="0"/>
    </xf>
    <xf numFmtId="0" fontId="1" fillId="33" borderId="20" xfId="0" applyFont="1" applyFill="1" applyBorder="1" applyAlignment="1" applyProtection="1">
      <alignment/>
      <protection locked="0"/>
    </xf>
    <xf numFmtId="0" fontId="1" fillId="33" borderId="0" xfId="0" applyFont="1" applyFill="1" applyBorder="1" applyAlignment="1" applyProtection="1">
      <alignment/>
      <protection locked="0"/>
    </xf>
    <xf numFmtId="0" fontId="6" fillId="33" borderId="22" xfId="0" applyFont="1" applyFill="1" applyBorder="1" applyAlignment="1" applyProtection="1">
      <alignment horizontal="center" vertical="center"/>
      <protection locked="0"/>
    </xf>
    <xf numFmtId="0" fontId="1" fillId="33" borderId="27" xfId="0" applyFont="1" applyFill="1" applyBorder="1" applyAlignment="1" applyProtection="1">
      <alignment vertical="center"/>
      <protection locked="0"/>
    </xf>
    <xf numFmtId="2" fontId="1" fillId="33" borderId="28" xfId="0" applyNumberFormat="1" applyFont="1" applyFill="1" applyBorder="1" applyAlignment="1" applyProtection="1">
      <alignment horizontal="center" vertical="center"/>
      <protection locked="0"/>
    </xf>
    <xf numFmtId="0" fontId="6" fillId="33" borderId="27" xfId="0" applyFont="1" applyFill="1" applyBorder="1" applyAlignment="1" applyProtection="1">
      <alignment horizontal="center" vertical="center"/>
      <protection locked="0"/>
    </xf>
    <xf numFmtId="164" fontId="6" fillId="33" borderId="27" xfId="55" applyNumberFormat="1" applyFont="1" applyFill="1" applyBorder="1" applyAlignment="1" applyProtection="1">
      <alignment horizontal="center" vertical="center"/>
      <protection locked="0"/>
    </xf>
    <xf numFmtId="164" fontId="1" fillId="33" borderId="28" xfId="55" applyNumberFormat="1" applyFont="1" applyFill="1" applyBorder="1" applyAlignment="1" applyProtection="1">
      <alignment horizontal="center" vertical="center"/>
      <protection locked="0"/>
    </xf>
    <xf numFmtId="164" fontId="1" fillId="33" borderId="29" xfId="55" applyNumberFormat="1" applyFont="1" applyFill="1" applyBorder="1" applyAlignment="1" applyProtection="1">
      <alignment horizontal="center" vertical="center"/>
      <protection locked="0"/>
    </xf>
    <xf numFmtId="0" fontId="6" fillId="33" borderId="20" xfId="0" applyFont="1" applyFill="1" applyBorder="1" applyAlignment="1" applyProtection="1">
      <alignment vertical="center"/>
      <protection locked="0"/>
    </xf>
    <xf numFmtId="0" fontId="6" fillId="33" borderId="21" xfId="0" applyFont="1" applyFill="1" applyBorder="1" applyAlignment="1" applyProtection="1">
      <alignment horizontal="center" vertical="center"/>
      <protection locked="0"/>
    </xf>
    <xf numFmtId="0" fontId="6" fillId="33" borderId="12" xfId="0" applyFont="1" applyFill="1" applyBorder="1" applyAlignment="1" applyProtection="1">
      <alignment vertical="center"/>
      <protection locked="0"/>
    </xf>
    <xf numFmtId="1" fontId="1" fillId="33" borderId="13" xfId="0" applyNumberFormat="1" applyFont="1" applyFill="1" applyBorder="1" applyAlignment="1" applyProtection="1">
      <alignment horizontal="right" vertical="center"/>
      <protection locked="0"/>
    </xf>
    <xf numFmtId="0" fontId="1" fillId="33" borderId="27" xfId="0" applyFont="1" applyFill="1" applyBorder="1" applyAlignment="1" applyProtection="1">
      <alignment horizontal="center" vertical="center"/>
      <protection locked="0"/>
    </xf>
    <xf numFmtId="0" fontId="1" fillId="33" borderId="28" xfId="0" applyFont="1" applyFill="1" applyBorder="1" applyAlignment="1" applyProtection="1">
      <alignment horizontal="center" vertical="center"/>
      <protection locked="0"/>
    </xf>
    <xf numFmtId="0" fontId="1" fillId="33" borderId="29" xfId="0"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protection locked="0"/>
    </xf>
    <xf numFmtId="0" fontId="1" fillId="33" borderId="30" xfId="0" applyFont="1" applyFill="1" applyBorder="1" applyAlignment="1" applyProtection="1">
      <alignment horizontal="center" vertical="center"/>
      <protection locked="0"/>
    </xf>
    <xf numFmtId="168" fontId="1" fillId="0" borderId="0" xfId="0" applyNumberFormat="1" applyFont="1" applyFill="1" applyBorder="1" applyAlignment="1" applyProtection="1">
      <alignment vertical="center"/>
      <protection locked="0"/>
    </xf>
    <xf numFmtId="0" fontId="6" fillId="33" borderId="20" xfId="0" applyFont="1" applyFill="1" applyBorder="1" applyAlignment="1" applyProtection="1">
      <alignment horizontal="right" vertical="center"/>
      <protection locked="0"/>
    </xf>
    <xf numFmtId="2" fontId="1" fillId="0" borderId="0" xfId="0" applyNumberFormat="1" applyFont="1" applyFill="1" applyAlignment="1" applyProtection="1">
      <alignment vertical="center"/>
      <protection locked="0"/>
    </xf>
    <xf numFmtId="0" fontId="1" fillId="33" borderId="22" xfId="0" applyFont="1" applyFill="1" applyBorder="1" applyAlignment="1" applyProtection="1">
      <alignment/>
      <protection locked="0"/>
    </xf>
    <xf numFmtId="0" fontId="1" fillId="33" borderId="10" xfId="0" applyFont="1" applyFill="1" applyBorder="1" applyAlignment="1" applyProtection="1">
      <alignment/>
      <protection locked="0"/>
    </xf>
    <xf numFmtId="0" fontId="1" fillId="33" borderId="11" xfId="0" applyFont="1" applyFill="1" applyBorder="1" applyAlignment="1" applyProtection="1">
      <alignment/>
      <protection locked="0"/>
    </xf>
    <xf numFmtId="0" fontId="1" fillId="34" borderId="22" xfId="0" applyFont="1" applyFill="1" applyBorder="1" applyAlignment="1" applyProtection="1">
      <alignment horizontal="center" vertical="center"/>
      <protection locked="0"/>
    </xf>
    <xf numFmtId="1" fontId="1" fillId="34" borderId="10" xfId="0" applyNumberFormat="1" applyFont="1" applyFill="1" applyBorder="1" applyAlignment="1" applyProtection="1">
      <alignment horizontal="center" vertical="center"/>
      <protection locked="0"/>
    </xf>
    <xf numFmtId="0" fontId="1" fillId="34" borderId="10" xfId="0" applyFont="1" applyFill="1" applyBorder="1" applyAlignment="1" applyProtection="1">
      <alignment horizontal="center" vertical="center"/>
      <protection locked="0"/>
    </xf>
    <xf numFmtId="0" fontId="1" fillId="34" borderId="11" xfId="0" applyFont="1" applyFill="1" applyBorder="1" applyAlignment="1" applyProtection="1">
      <alignment horizontal="center" vertical="center"/>
      <protection locked="0"/>
    </xf>
    <xf numFmtId="0" fontId="1" fillId="33" borderId="20" xfId="0" applyFont="1" applyFill="1" applyBorder="1" applyAlignment="1" applyProtection="1">
      <alignment horizontal="left" vertical="center" indent="1"/>
      <protection locked="0"/>
    </xf>
    <xf numFmtId="167" fontId="1" fillId="33" borderId="0" xfId="0" applyNumberFormat="1" applyFont="1" applyFill="1" applyBorder="1" applyAlignment="1" applyProtection="1">
      <alignment horizontal="center" vertical="center"/>
      <protection locked="0"/>
    </xf>
    <xf numFmtId="168" fontId="1" fillId="33" borderId="27" xfId="55" applyNumberFormat="1" applyFont="1" applyFill="1" applyBorder="1" applyAlignment="1" applyProtection="1">
      <alignment horizontal="center" vertical="center"/>
      <protection locked="0"/>
    </xf>
    <xf numFmtId="168" fontId="1" fillId="33" borderId="28" xfId="55" applyNumberFormat="1" applyFont="1" applyFill="1" applyBorder="1" applyAlignment="1" applyProtection="1">
      <alignment horizontal="center" vertical="center"/>
      <protection locked="0"/>
    </xf>
    <xf numFmtId="168" fontId="1" fillId="33" borderId="29" xfId="55" applyNumberFormat="1" applyFont="1" applyFill="1" applyBorder="1" applyAlignment="1" applyProtection="1">
      <alignment horizontal="center" vertical="center"/>
      <protection locked="0"/>
    </xf>
    <xf numFmtId="9" fontId="1" fillId="33" borderId="0" xfId="55" applyFont="1" applyFill="1" applyBorder="1" applyAlignment="1" applyProtection="1">
      <alignment horizontal="center" vertical="center"/>
      <protection locked="0"/>
    </xf>
    <xf numFmtId="0" fontId="6" fillId="33" borderId="20" xfId="0" applyFont="1" applyFill="1" applyBorder="1" applyAlignment="1" applyProtection="1">
      <alignment horizontal="right" vertical="center" indent="1"/>
      <protection locked="0"/>
    </xf>
    <xf numFmtId="2" fontId="6" fillId="33" borderId="10" xfId="0" applyNumberFormat="1"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2" fontId="6" fillId="33" borderId="21" xfId="0" applyNumberFormat="1"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indent="1"/>
      <protection locked="0"/>
    </xf>
    <xf numFmtId="1" fontId="6" fillId="33" borderId="10" xfId="0" applyNumberFormat="1" applyFont="1" applyFill="1" applyBorder="1" applyAlignment="1" applyProtection="1">
      <alignment horizontal="center" vertical="center"/>
      <protection locked="0"/>
    </xf>
    <xf numFmtId="10" fontId="6" fillId="33" borderId="27" xfId="55" applyNumberFormat="1" applyFont="1" applyFill="1" applyBorder="1" applyAlignment="1" applyProtection="1">
      <alignment horizontal="center" vertical="center"/>
      <protection locked="0"/>
    </xf>
    <xf numFmtId="0" fontId="1" fillId="33" borderId="12" xfId="0" applyFont="1" applyFill="1" applyBorder="1" applyAlignment="1" applyProtection="1">
      <alignment/>
      <protection locked="0"/>
    </xf>
    <xf numFmtId="0" fontId="1" fillId="33" borderId="13" xfId="0" applyFont="1" applyFill="1" applyBorder="1" applyAlignment="1" applyProtection="1">
      <alignment/>
      <protection locked="0"/>
    </xf>
    <xf numFmtId="0" fontId="1" fillId="33" borderId="14" xfId="0" applyFont="1" applyFill="1" applyBorder="1" applyAlignment="1" applyProtection="1">
      <alignment horizontal="center" vertical="center"/>
      <protection locked="0"/>
    </xf>
    <xf numFmtId="0" fontId="1" fillId="33" borderId="12" xfId="0" applyFont="1" applyFill="1" applyBorder="1" applyAlignment="1" applyProtection="1">
      <alignment horizontal="left" vertical="center" indent="1"/>
      <protection locked="0"/>
    </xf>
    <xf numFmtId="164" fontId="1" fillId="33" borderId="13" xfId="55" applyNumberFormat="1" applyFont="1" applyFill="1" applyBorder="1" applyAlignment="1" applyProtection="1">
      <alignment horizontal="center" vertical="center"/>
      <protection locked="0"/>
    </xf>
    <xf numFmtId="10" fontId="1" fillId="33" borderId="13" xfId="55" applyNumberFormat="1" applyFont="1" applyFill="1" applyBorder="1" applyAlignment="1" applyProtection="1">
      <alignment horizontal="center" vertical="center"/>
      <protection locked="0"/>
    </xf>
    <xf numFmtId="0" fontId="12" fillId="34" borderId="13" xfId="0" applyFont="1" applyFill="1" applyBorder="1" applyAlignment="1" applyProtection="1">
      <alignment/>
      <protection locked="0"/>
    </xf>
    <xf numFmtId="0" fontId="12" fillId="34" borderId="14" xfId="0" applyFont="1" applyFill="1" applyBorder="1" applyAlignment="1" applyProtection="1">
      <alignment/>
      <protection locked="0"/>
    </xf>
    <xf numFmtId="0" fontId="6" fillId="33" borderId="13" xfId="0" applyFont="1" applyFill="1" applyBorder="1" applyAlignment="1" applyProtection="1">
      <alignment vertical="center"/>
      <protection locked="0"/>
    </xf>
    <xf numFmtId="2" fontId="1" fillId="33" borderId="13" xfId="0" applyNumberFormat="1" applyFont="1" applyFill="1" applyBorder="1" applyAlignment="1" applyProtection="1">
      <alignment vertical="center"/>
      <protection locked="0"/>
    </xf>
    <xf numFmtId="0" fontId="1" fillId="33" borderId="14" xfId="0" applyFont="1" applyFill="1" applyBorder="1" applyAlignment="1" applyProtection="1">
      <alignment/>
      <protection locked="0"/>
    </xf>
    <xf numFmtId="0" fontId="6" fillId="0" borderId="0" xfId="0" applyFont="1" applyFill="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1" fillId="33" borderId="20" xfId="0" applyFont="1" applyFill="1" applyBorder="1" applyAlignment="1" applyProtection="1">
      <alignment horizontal="right" vertical="center" indent="2"/>
      <protection locked="0"/>
    </xf>
    <xf numFmtId="0" fontId="1" fillId="33" borderId="0" xfId="0" applyFont="1" applyFill="1" applyBorder="1" applyAlignment="1" applyProtection="1">
      <alignment horizontal="right" vertical="center" indent="2"/>
      <protection locked="0"/>
    </xf>
    <xf numFmtId="0" fontId="6" fillId="33" borderId="20" xfId="0" applyFont="1" applyFill="1" applyBorder="1" applyAlignment="1" applyProtection="1">
      <alignment horizontal="center" vertical="center"/>
      <protection locked="0"/>
    </xf>
    <xf numFmtId="0" fontId="6" fillId="33" borderId="0" xfId="0" applyFont="1" applyFill="1" applyBorder="1" applyAlignment="1" applyProtection="1">
      <alignment horizontal="right" vertical="center" indent="2"/>
      <protection locked="0"/>
    </xf>
    <xf numFmtId="0" fontId="4" fillId="0" borderId="0" xfId="0" applyFont="1" applyFill="1" applyBorder="1" applyAlignment="1" applyProtection="1">
      <alignment horizontal="right" vertical="center"/>
      <protection locked="0"/>
    </xf>
    <xf numFmtId="0" fontId="1" fillId="33" borderId="0" xfId="45"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locked="0"/>
    </xf>
    <xf numFmtId="0" fontId="7" fillId="35" borderId="27" xfId="0" applyFont="1" applyFill="1" applyBorder="1" applyAlignment="1" applyProtection="1">
      <alignment vertical="center"/>
      <protection locked="0"/>
    </xf>
    <xf numFmtId="0" fontId="7" fillId="35" borderId="28" xfId="0" applyFont="1" applyFill="1" applyBorder="1" applyAlignment="1" applyProtection="1">
      <alignment vertical="center"/>
      <protection locked="0"/>
    </xf>
    <xf numFmtId="0" fontId="1" fillId="35" borderId="28" xfId="0" applyFont="1" applyFill="1" applyBorder="1" applyAlignment="1" applyProtection="1">
      <alignment vertical="center"/>
      <protection locked="0"/>
    </xf>
    <xf numFmtId="2" fontId="6" fillId="35" borderId="29" xfId="0" applyNumberFormat="1" applyFont="1" applyFill="1" applyBorder="1" applyAlignment="1" applyProtection="1">
      <alignment vertical="center"/>
      <protection locked="0"/>
    </xf>
    <xf numFmtId="0" fontId="20" fillId="36" borderId="27" xfId="0" applyFont="1" applyFill="1" applyBorder="1" applyAlignment="1" applyProtection="1">
      <alignment vertical="center"/>
      <protection locked="0"/>
    </xf>
    <xf numFmtId="0" fontId="20" fillId="36" borderId="28" xfId="0" applyFont="1" applyFill="1" applyBorder="1" applyAlignment="1" applyProtection="1">
      <alignment vertical="center"/>
      <protection locked="0"/>
    </xf>
    <xf numFmtId="0" fontId="22" fillId="36" borderId="28" xfId="0" applyFont="1" applyFill="1" applyBorder="1" applyAlignment="1" applyProtection="1">
      <alignment vertical="center"/>
      <protection locked="0"/>
    </xf>
    <xf numFmtId="2" fontId="20" fillId="36" borderId="29" xfId="0" applyNumberFormat="1" applyFont="1" applyFill="1" applyBorder="1" applyAlignment="1" applyProtection="1">
      <alignment vertical="center"/>
      <protection locked="0"/>
    </xf>
    <xf numFmtId="0" fontId="1" fillId="37" borderId="22" xfId="0" applyFont="1" applyFill="1" applyBorder="1" applyAlignment="1" applyProtection="1">
      <alignment horizontal="left" vertical="center"/>
      <protection locked="0"/>
    </xf>
    <xf numFmtId="0" fontId="1" fillId="37" borderId="11" xfId="0" applyFont="1" applyFill="1" applyBorder="1" applyAlignment="1" applyProtection="1">
      <alignment horizontal="center" vertical="center" wrapText="1"/>
      <protection locked="0"/>
    </xf>
    <xf numFmtId="0" fontId="1" fillId="37" borderId="20" xfId="0" applyFont="1" applyFill="1" applyBorder="1" applyAlignment="1" applyProtection="1">
      <alignment horizontal="center" vertical="center" wrapText="1"/>
      <protection locked="0"/>
    </xf>
    <xf numFmtId="0" fontId="1" fillId="37" borderId="21" xfId="0" applyFont="1" applyFill="1" applyBorder="1" applyAlignment="1" applyProtection="1">
      <alignment horizontal="center" vertical="center" wrapText="1"/>
      <protection locked="0"/>
    </xf>
    <xf numFmtId="0" fontId="1" fillId="37" borderId="20" xfId="0" applyFont="1" applyFill="1" applyBorder="1" applyAlignment="1" applyProtection="1">
      <alignment horizontal="center" vertical="center"/>
      <protection locked="0"/>
    </xf>
    <xf numFmtId="0" fontId="1" fillId="37" borderId="21" xfId="0" applyFont="1" applyFill="1" applyBorder="1" applyAlignment="1" applyProtection="1">
      <alignment horizontal="center" vertical="center"/>
      <protection locked="0"/>
    </xf>
    <xf numFmtId="0" fontId="1" fillId="37" borderId="12" xfId="0" applyFont="1" applyFill="1" applyBorder="1" applyAlignment="1" applyProtection="1">
      <alignment horizontal="center" vertical="center"/>
      <protection locked="0"/>
    </xf>
    <xf numFmtId="0" fontId="1" fillId="37" borderId="14" xfId="0" applyFont="1" applyFill="1" applyBorder="1" applyAlignment="1" applyProtection="1">
      <alignment horizontal="center" vertical="center"/>
      <protection locked="0"/>
    </xf>
    <xf numFmtId="2" fontId="1" fillId="37" borderId="27" xfId="0" applyNumberFormat="1" applyFont="1" applyFill="1" applyBorder="1" applyAlignment="1" applyProtection="1">
      <alignment horizontal="center" vertical="center"/>
      <protection locked="0"/>
    </xf>
    <xf numFmtId="2" fontId="1" fillId="37" borderId="28" xfId="0" applyNumberFormat="1" applyFont="1" applyFill="1" applyBorder="1" applyAlignment="1" applyProtection="1">
      <alignment horizontal="center" vertical="center"/>
      <protection locked="0"/>
    </xf>
    <xf numFmtId="2" fontId="1" fillId="37" borderId="29" xfId="0" applyNumberFormat="1" applyFont="1" applyFill="1" applyBorder="1" applyAlignment="1" applyProtection="1">
      <alignment horizontal="center" vertical="center"/>
      <protection locked="0"/>
    </xf>
    <xf numFmtId="2" fontId="1" fillId="37" borderId="27" xfId="0" applyNumberFormat="1" applyFont="1" applyFill="1" applyBorder="1" applyAlignment="1" applyProtection="1">
      <alignment vertical="center"/>
      <protection locked="0"/>
    </xf>
    <xf numFmtId="0" fontId="1" fillId="37" borderId="28" xfId="0" applyFont="1" applyFill="1" applyBorder="1" applyAlignment="1" applyProtection="1">
      <alignment vertical="center"/>
      <protection locked="0"/>
    </xf>
    <xf numFmtId="0" fontId="1" fillId="37" borderId="29" xfId="0" applyFont="1" applyFill="1" applyBorder="1" applyAlignment="1" applyProtection="1">
      <alignment vertical="center"/>
      <protection locked="0"/>
    </xf>
    <xf numFmtId="167" fontId="1" fillId="37" borderId="27" xfId="0" applyNumberFormat="1" applyFont="1" applyFill="1" applyBorder="1" applyAlignment="1" applyProtection="1">
      <alignment horizontal="center" vertical="center"/>
      <protection locked="0"/>
    </xf>
    <xf numFmtId="167" fontId="1" fillId="37" borderId="30" xfId="0" applyNumberFormat="1" applyFont="1" applyFill="1" applyBorder="1" applyAlignment="1" applyProtection="1">
      <alignment horizontal="center" vertical="center"/>
      <protection locked="0"/>
    </xf>
    <xf numFmtId="2" fontId="1" fillId="37" borderId="22" xfId="0" applyNumberFormat="1" applyFont="1" applyFill="1" applyBorder="1" applyAlignment="1" applyProtection="1">
      <alignment horizontal="center" vertical="center"/>
      <protection locked="0"/>
    </xf>
    <xf numFmtId="167" fontId="1" fillId="37" borderId="10" xfId="0" applyNumberFormat="1" applyFont="1" applyFill="1" applyBorder="1" applyAlignment="1" applyProtection="1">
      <alignment horizontal="center" vertical="center"/>
      <protection locked="0"/>
    </xf>
    <xf numFmtId="2" fontId="1" fillId="37" borderId="11" xfId="0" applyNumberFormat="1" applyFont="1" applyFill="1" applyBorder="1" applyAlignment="1" applyProtection="1">
      <alignment horizontal="center" vertical="center"/>
      <protection locked="0"/>
    </xf>
    <xf numFmtId="2" fontId="1" fillId="37" borderId="10" xfId="0" applyNumberFormat="1" applyFont="1" applyFill="1" applyBorder="1" applyAlignment="1" applyProtection="1">
      <alignment horizontal="center" vertical="center"/>
      <protection locked="0"/>
    </xf>
    <xf numFmtId="167" fontId="1" fillId="37" borderId="28" xfId="0" applyNumberFormat="1" applyFont="1" applyFill="1" applyBorder="1" applyAlignment="1" applyProtection="1">
      <alignment horizontal="center" vertical="center"/>
      <protection locked="0"/>
    </xf>
    <xf numFmtId="2" fontId="1" fillId="37" borderId="20" xfId="0" applyNumberFormat="1" applyFont="1" applyFill="1" applyBorder="1" applyAlignment="1" applyProtection="1">
      <alignment horizontal="center" vertical="center"/>
      <protection locked="0"/>
    </xf>
    <xf numFmtId="2" fontId="1" fillId="37" borderId="0" xfId="0" applyNumberFormat="1" applyFont="1" applyFill="1" applyBorder="1" applyAlignment="1" applyProtection="1">
      <alignment horizontal="center" vertical="center"/>
      <protection locked="0"/>
    </xf>
    <xf numFmtId="2" fontId="1" fillId="37" borderId="21" xfId="0" applyNumberFormat="1" applyFont="1" applyFill="1" applyBorder="1" applyAlignment="1" applyProtection="1">
      <alignment horizontal="center" vertical="center"/>
      <protection locked="0"/>
    </xf>
    <xf numFmtId="166" fontId="1" fillId="37" borderId="12" xfId="0" applyNumberFormat="1" applyFont="1" applyFill="1" applyBorder="1" applyAlignment="1" applyProtection="1">
      <alignment horizontal="center" vertical="center"/>
      <protection locked="0"/>
    </xf>
    <xf numFmtId="166" fontId="1" fillId="37" borderId="13" xfId="0" applyNumberFormat="1" applyFont="1" applyFill="1" applyBorder="1" applyAlignment="1" applyProtection="1">
      <alignment horizontal="center" vertical="center"/>
      <protection locked="0"/>
    </xf>
    <xf numFmtId="166" fontId="1" fillId="37" borderId="14" xfId="0" applyNumberFormat="1" applyFont="1" applyFill="1" applyBorder="1" applyAlignment="1" applyProtection="1">
      <alignment horizontal="center" vertical="center"/>
      <protection locked="0"/>
    </xf>
    <xf numFmtId="2" fontId="1" fillId="37" borderId="12" xfId="0" applyNumberFormat="1" applyFont="1" applyFill="1" applyBorder="1" applyAlignment="1" applyProtection="1">
      <alignment horizontal="center" vertical="center"/>
      <protection locked="0"/>
    </xf>
    <xf numFmtId="2" fontId="1" fillId="37" borderId="13" xfId="0" applyNumberFormat="1" applyFont="1" applyFill="1" applyBorder="1" applyAlignment="1" applyProtection="1">
      <alignment horizontal="center" vertical="center"/>
      <protection locked="0"/>
    </xf>
    <xf numFmtId="2" fontId="1" fillId="37" borderId="14" xfId="0" applyNumberFormat="1" applyFont="1" applyFill="1" applyBorder="1" applyAlignment="1" applyProtection="1">
      <alignment horizontal="center" vertical="center"/>
      <protection locked="0"/>
    </xf>
    <xf numFmtId="2" fontId="6" fillId="37" borderId="27" xfId="0" applyNumberFormat="1" applyFont="1" applyFill="1" applyBorder="1" applyAlignment="1" applyProtection="1">
      <alignment horizontal="right" vertical="center" indent="2"/>
      <protection locked="0"/>
    </xf>
    <xf numFmtId="0" fontId="6" fillId="37" borderId="28" xfId="0" applyFont="1" applyFill="1" applyBorder="1" applyAlignment="1" applyProtection="1">
      <alignment vertical="center"/>
      <protection locked="0"/>
    </xf>
    <xf numFmtId="0" fontId="6" fillId="37" borderId="29" xfId="0" applyFont="1" applyFill="1" applyBorder="1" applyAlignment="1" applyProtection="1">
      <alignment horizontal="right" vertical="center" indent="2"/>
      <protection locked="0"/>
    </xf>
    <xf numFmtId="0" fontId="4" fillId="35" borderId="22" xfId="0" applyFont="1" applyFill="1" applyBorder="1" applyAlignment="1" applyProtection="1">
      <alignment horizontal="left" vertical="center"/>
      <protection locked="0"/>
    </xf>
    <xf numFmtId="0" fontId="4" fillId="35" borderId="10" xfId="0" applyFont="1" applyFill="1" applyBorder="1" applyAlignment="1" applyProtection="1">
      <alignment horizontal="left" vertical="center"/>
      <protection locked="0"/>
    </xf>
    <xf numFmtId="0" fontId="4" fillId="35" borderId="10" xfId="0" applyFont="1" applyFill="1" applyBorder="1" applyAlignment="1" applyProtection="1">
      <alignment vertical="center"/>
      <protection locked="0"/>
    </xf>
    <xf numFmtId="0" fontId="1" fillId="35" borderId="10" xfId="0" applyFont="1" applyFill="1" applyBorder="1" applyAlignment="1" applyProtection="1">
      <alignment vertical="center"/>
      <protection locked="0"/>
    </xf>
    <xf numFmtId="0" fontId="6" fillId="35" borderId="10" xfId="0" applyFont="1" applyFill="1" applyBorder="1" applyAlignment="1" applyProtection="1">
      <alignment horizontal="right" vertical="center"/>
      <protection locked="0"/>
    </xf>
    <xf numFmtId="0" fontId="7" fillId="35" borderId="11" xfId="0" applyFont="1" applyFill="1" applyBorder="1" applyAlignment="1" applyProtection="1">
      <alignment horizontal="right" vertical="center"/>
      <protection locked="0"/>
    </xf>
    <xf numFmtId="0" fontId="6" fillId="35" borderId="22"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35" borderId="11" xfId="0" applyFont="1" applyFill="1" applyBorder="1" applyAlignment="1" applyProtection="1">
      <alignment horizontal="center" vertical="center"/>
      <protection locked="0"/>
    </xf>
    <xf numFmtId="0" fontId="1" fillId="38" borderId="0" xfId="0" applyFont="1" applyFill="1" applyBorder="1" applyAlignment="1" applyProtection="1">
      <alignment horizontal="center" vertical="center"/>
      <protection locked="0"/>
    </xf>
    <xf numFmtId="0" fontId="1" fillId="38" borderId="21" xfId="0" applyFont="1" applyFill="1" applyBorder="1" applyAlignment="1" applyProtection="1">
      <alignment horizontal="center" vertical="center"/>
      <protection locked="0"/>
    </xf>
    <xf numFmtId="0" fontId="23" fillId="0" borderId="0" xfId="0" applyFont="1" applyFill="1" applyAlignment="1" applyProtection="1">
      <alignment vertical="center"/>
      <protection locked="0"/>
    </xf>
    <xf numFmtId="0" fontId="23" fillId="0" borderId="0" xfId="0" applyFont="1" applyFill="1" applyAlignment="1" applyProtection="1">
      <alignment horizontal="left" vertical="center"/>
      <protection locked="0"/>
    </xf>
    <xf numFmtId="0" fontId="1" fillId="38" borderId="27" xfId="0" applyFont="1" applyFill="1" applyBorder="1" applyAlignment="1" applyProtection="1">
      <alignment vertical="center"/>
      <protection locked="0"/>
    </xf>
    <xf numFmtId="2" fontId="1" fillId="38" borderId="26" xfId="0" applyNumberFormat="1" applyFont="1" applyFill="1" applyBorder="1" applyAlignment="1" applyProtection="1">
      <alignment horizontal="center" vertical="center"/>
      <protection locked="0"/>
    </xf>
    <xf numFmtId="166" fontId="1" fillId="38" borderId="27" xfId="0" applyNumberFormat="1" applyFont="1" applyFill="1" applyBorder="1" applyAlignment="1" applyProtection="1">
      <alignment horizontal="center" vertical="center"/>
      <protection locked="0"/>
    </xf>
    <xf numFmtId="2" fontId="1" fillId="38" borderId="28" xfId="0" applyNumberFormat="1" applyFont="1" applyFill="1" applyBorder="1" applyAlignment="1" applyProtection="1">
      <alignment horizontal="center" vertical="center"/>
      <protection locked="0"/>
    </xf>
    <xf numFmtId="166" fontId="1" fillId="38" borderId="28" xfId="0" applyNumberFormat="1" applyFont="1" applyFill="1" applyBorder="1" applyAlignment="1" applyProtection="1">
      <alignment horizontal="center" vertical="center"/>
      <protection locked="0"/>
    </xf>
    <xf numFmtId="0" fontId="6" fillId="35" borderId="22" xfId="0" applyFont="1" applyFill="1" applyBorder="1" applyAlignment="1" applyProtection="1">
      <alignment horizontal="center" vertical="center"/>
      <protection locked="0"/>
    </xf>
    <xf numFmtId="0" fontId="6" fillId="35" borderId="10" xfId="0" applyFont="1" applyFill="1" applyBorder="1" applyAlignment="1" applyProtection="1">
      <alignment vertical="center"/>
      <protection locked="0"/>
    </xf>
    <xf numFmtId="0" fontId="6" fillId="35" borderId="11" xfId="0" applyFont="1" applyFill="1" applyBorder="1" applyAlignment="1" applyProtection="1">
      <alignment vertical="center"/>
      <protection locked="0"/>
    </xf>
    <xf numFmtId="0" fontId="6" fillId="35" borderId="22" xfId="0" applyFont="1" applyFill="1" applyBorder="1" applyAlignment="1" applyProtection="1">
      <alignment vertical="center"/>
      <protection locked="0"/>
    </xf>
    <xf numFmtId="0" fontId="6" fillId="35" borderId="26" xfId="0" applyFont="1" applyFill="1" applyBorder="1" applyAlignment="1" applyProtection="1">
      <alignment horizontal="center" vertical="center"/>
      <protection locked="0"/>
    </xf>
    <xf numFmtId="0" fontId="0" fillId="0" borderId="0" xfId="0" applyNumberFormat="1" applyFont="1" applyFill="1" applyAlignment="1">
      <alignment/>
    </xf>
    <xf numFmtId="0" fontId="24" fillId="0" borderId="0" xfId="0" applyFont="1" applyFill="1" applyAlignment="1">
      <alignment/>
    </xf>
    <xf numFmtId="0" fontId="6" fillId="37" borderId="22" xfId="0" applyFont="1" applyFill="1" applyBorder="1" applyAlignment="1" applyProtection="1">
      <alignment horizontal="center" vertical="center"/>
      <protection locked="0"/>
    </xf>
    <xf numFmtId="166" fontId="1" fillId="37" borderId="10" xfId="0" applyNumberFormat="1" applyFont="1" applyFill="1" applyBorder="1" applyAlignment="1" applyProtection="1">
      <alignment horizontal="left" vertical="center"/>
      <protection locked="0"/>
    </xf>
    <xf numFmtId="0" fontId="6" fillId="37" borderId="10" xfId="0" applyFont="1" applyFill="1" applyBorder="1" applyAlignment="1" applyProtection="1">
      <alignment horizontal="center" vertical="center"/>
      <protection locked="0"/>
    </xf>
    <xf numFmtId="166" fontId="1" fillId="37" borderId="10" xfId="0" applyNumberFormat="1" applyFont="1" applyFill="1" applyBorder="1" applyAlignment="1" applyProtection="1">
      <alignment horizontal="center" vertical="center"/>
      <protection locked="0"/>
    </xf>
    <xf numFmtId="0" fontId="6" fillId="37" borderId="20" xfId="0" applyFont="1" applyFill="1" applyBorder="1" applyAlignment="1" applyProtection="1">
      <alignment horizontal="center" vertical="center"/>
      <protection locked="0"/>
    </xf>
    <xf numFmtId="166" fontId="1" fillId="37" borderId="0" xfId="0" applyNumberFormat="1" applyFont="1" applyFill="1" applyBorder="1" applyAlignment="1" applyProtection="1">
      <alignment horizontal="left" vertical="center"/>
      <protection locked="0"/>
    </xf>
    <xf numFmtId="0" fontId="6" fillId="37" borderId="0" xfId="0" applyFont="1" applyFill="1" applyBorder="1" applyAlignment="1" applyProtection="1">
      <alignment horizontal="center" vertical="center"/>
      <protection locked="0"/>
    </xf>
    <xf numFmtId="2" fontId="1" fillId="37" borderId="0" xfId="0" applyNumberFormat="1" applyFont="1" applyFill="1" applyBorder="1" applyAlignment="1" applyProtection="1">
      <alignment horizontal="left" vertical="center"/>
      <protection locked="0"/>
    </xf>
    <xf numFmtId="166" fontId="1" fillId="37" borderId="0" xfId="0" applyNumberFormat="1" applyFont="1" applyFill="1" applyBorder="1" applyAlignment="1" applyProtection="1">
      <alignment horizontal="center" vertical="center"/>
      <protection locked="0"/>
    </xf>
    <xf numFmtId="2" fontId="12" fillId="37" borderId="0" xfId="0" applyNumberFormat="1" applyFont="1" applyFill="1" applyBorder="1" applyAlignment="1" applyProtection="1">
      <alignment horizontal="center" vertical="center"/>
      <protection locked="0"/>
    </xf>
    <xf numFmtId="0" fontId="6" fillId="37" borderId="12" xfId="0" applyFont="1" applyFill="1" applyBorder="1" applyAlignment="1" applyProtection="1">
      <alignment horizontal="center" vertical="center"/>
      <protection locked="0"/>
    </xf>
    <xf numFmtId="166" fontId="1" fillId="37" borderId="13" xfId="0" applyNumberFormat="1" applyFont="1" applyFill="1" applyBorder="1" applyAlignment="1" applyProtection="1">
      <alignment horizontal="left" vertical="center"/>
      <protection locked="0"/>
    </xf>
    <xf numFmtId="2" fontId="1" fillId="37" borderId="13" xfId="0" applyNumberFormat="1" applyFont="1" applyFill="1" applyBorder="1" applyAlignment="1" applyProtection="1">
      <alignment horizontal="left" vertical="center"/>
      <protection locked="0"/>
    </xf>
    <xf numFmtId="0" fontId="6" fillId="35" borderId="10" xfId="0" applyFont="1" applyFill="1" applyBorder="1" applyAlignment="1" applyProtection="1">
      <alignment horizontal="left" vertical="center"/>
      <protection locked="0"/>
    </xf>
    <xf numFmtId="1" fontId="1" fillId="37" borderId="10" xfId="0" applyNumberFormat="1" applyFont="1" applyFill="1" applyBorder="1" applyAlignment="1" applyProtection="1">
      <alignment vertical="center"/>
      <protection locked="0"/>
    </xf>
    <xf numFmtId="0" fontId="1" fillId="37" borderId="10" xfId="0" applyFont="1" applyFill="1" applyBorder="1" applyAlignment="1" applyProtection="1">
      <alignment horizontal="center" vertical="center"/>
      <protection locked="0"/>
    </xf>
    <xf numFmtId="0" fontId="1" fillId="37" borderId="11" xfId="0" applyFont="1" applyFill="1" applyBorder="1" applyAlignment="1" applyProtection="1">
      <alignment horizontal="center" vertical="center"/>
      <protection locked="0"/>
    </xf>
    <xf numFmtId="0" fontId="1" fillId="37" borderId="20" xfId="0" applyFont="1" applyFill="1" applyBorder="1" applyAlignment="1" applyProtection="1">
      <alignment horizontal="left" vertical="center"/>
      <protection locked="0"/>
    </xf>
    <xf numFmtId="1" fontId="1" fillId="37" borderId="0" xfId="0" applyNumberFormat="1" applyFont="1" applyFill="1" applyBorder="1" applyAlignment="1" applyProtection="1">
      <alignment vertical="center"/>
      <protection locked="0"/>
    </xf>
    <xf numFmtId="0" fontId="1" fillId="37" borderId="0" xfId="0" applyFont="1" applyFill="1" applyBorder="1" applyAlignment="1" applyProtection="1">
      <alignment horizontal="center" vertical="center"/>
      <protection locked="0"/>
    </xf>
    <xf numFmtId="0" fontId="1" fillId="37" borderId="0" xfId="0" applyFont="1" applyFill="1" applyBorder="1" applyAlignment="1" applyProtection="1">
      <alignment horizontal="right" vertical="center"/>
      <protection locked="0"/>
    </xf>
    <xf numFmtId="0" fontId="1" fillId="37" borderId="0" xfId="0" applyFont="1" applyFill="1" applyBorder="1" applyAlignment="1" applyProtection="1">
      <alignment vertical="center"/>
      <protection locked="0"/>
    </xf>
    <xf numFmtId="1" fontId="1" fillId="37" borderId="0" xfId="0" applyNumberFormat="1" applyFont="1" applyFill="1" applyBorder="1" applyAlignment="1" applyProtection="1">
      <alignment horizontal="left" vertical="center"/>
      <protection locked="0"/>
    </xf>
    <xf numFmtId="0" fontId="6" fillId="37" borderId="21" xfId="0" applyFont="1" applyFill="1" applyBorder="1" applyAlignment="1" applyProtection="1">
      <alignment horizontal="center" vertical="center"/>
      <protection locked="0"/>
    </xf>
    <xf numFmtId="10" fontId="1" fillId="37" borderId="0" xfId="55" applyNumberFormat="1" applyFont="1" applyFill="1" applyBorder="1" applyAlignment="1" applyProtection="1">
      <alignment horizontal="left" vertical="center"/>
      <protection locked="0"/>
    </xf>
    <xf numFmtId="10" fontId="1" fillId="37" borderId="0" xfId="55" applyNumberFormat="1" applyFont="1" applyFill="1" applyBorder="1" applyAlignment="1" applyProtection="1">
      <alignment horizontal="center" vertical="center"/>
      <protection locked="0"/>
    </xf>
    <xf numFmtId="10" fontId="1" fillId="37" borderId="13" xfId="55" applyNumberFormat="1" applyFont="1" applyFill="1" applyBorder="1" applyAlignment="1" applyProtection="1">
      <alignment horizontal="left" vertical="center"/>
      <protection locked="0"/>
    </xf>
    <xf numFmtId="10" fontId="1" fillId="37" borderId="13" xfId="55" applyNumberFormat="1" applyFont="1" applyFill="1" applyBorder="1" applyAlignment="1" applyProtection="1">
      <alignment horizontal="center" vertical="center"/>
      <protection locked="0"/>
    </xf>
    <xf numFmtId="0" fontId="6" fillId="35" borderId="28" xfId="0" applyFont="1" applyFill="1" applyBorder="1" applyAlignment="1" applyProtection="1">
      <alignment horizontal="center" vertical="center"/>
      <protection locked="0"/>
    </xf>
    <xf numFmtId="0" fontId="4" fillId="35" borderId="31" xfId="0" applyFont="1" applyFill="1" applyBorder="1" applyAlignment="1" applyProtection="1">
      <alignment horizontal="left" vertical="center"/>
      <protection locked="0"/>
    </xf>
    <xf numFmtId="0" fontId="4" fillId="35" borderId="32" xfId="0" applyFont="1" applyFill="1" applyBorder="1" applyAlignment="1" applyProtection="1">
      <alignment horizontal="left" vertical="center"/>
      <protection locked="0"/>
    </xf>
    <xf numFmtId="0" fontId="4" fillId="35" borderId="32" xfId="0" applyFont="1" applyFill="1" applyBorder="1" applyAlignment="1" applyProtection="1">
      <alignment vertical="center"/>
      <protection locked="0"/>
    </xf>
    <xf numFmtId="0" fontId="1" fillId="35" borderId="32" xfId="0" applyFont="1" applyFill="1" applyBorder="1" applyAlignment="1" applyProtection="1">
      <alignment vertical="center"/>
      <protection locked="0"/>
    </xf>
    <xf numFmtId="0" fontId="6" fillId="35" borderId="32" xfId="0" applyFont="1" applyFill="1" applyBorder="1" applyAlignment="1" applyProtection="1">
      <alignment horizontal="right" vertical="center"/>
      <protection locked="0"/>
    </xf>
    <xf numFmtId="0" fontId="7" fillId="35" borderId="33" xfId="0" applyFont="1" applyFill="1" applyBorder="1" applyAlignment="1" applyProtection="1">
      <alignment horizontal="right" vertical="center"/>
      <protection locked="0"/>
    </xf>
    <xf numFmtId="0" fontId="1" fillId="33" borderId="32" xfId="0" applyFont="1" applyFill="1" applyBorder="1" applyAlignment="1" applyProtection="1">
      <alignment vertical="center"/>
      <protection locked="0"/>
    </xf>
    <xf numFmtId="0" fontId="1" fillId="33" borderId="33" xfId="0" applyFont="1" applyFill="1" applyBorder="1" applyAlignment="1" applyProtection="1">
      <alignment vertical="center"/>
      <protection locked="0"/>
    </xf>
    <xf numFmtId="0" fontId="1" fillId="0" borderId="32" xfId="0" applyFont="1" applyBorder="1" applyAlignment="1" applyProtection="1">
      <alignment vertical="center"/>
      <protection locked="0"/>
    </xf>
    <xf numFmtId="0" fontId="25" fillId="0" borderId="0" xfId="0" applyFont="1" applyAlignment="1">
      <alignment/>
    </xf>
    <xf numFmtId="0" fontId="1" fillId="33" borderId="34"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18" xfId="0" applyFont="1" applyFill="1" applyBorder="1" applyAlignment="1" applyProtection="1">
      <alignment horizontal="left" vertical="center" wrapText="1"/>
      <protection locked="0"/>
    </xf>
    <xf numFmtId="0" fontId="1" fillId="33" borderId="27" xfId="0" applyFont="1" applyFill="1" applyBorder="1" applyAlignment="1" applyProtection="1">
      <alignment horizontal="center" vertical="center"/>
      <protection locked="0"/>
    </xf>
    <xf numFmtId="0" fontId="1" fillId="33" borderId="28" xfId="0" applyFont="1" applyFill="1" applyBorder="1" applyAlignment="1" applyProtection="1">
      <alignment horizontal="center" vertical="center"/>
      <protection locked="0"/>
    </xf>
    <xf numFmtId="0" fontId="1" fillId="33" borderId="29"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33" borderId="35"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166" fontId="1" fillId="37" borderId="0" xfId="0" applyNumberFormat="1" applyFont="1" applyFill="1" applyBorder="1" applyAlignment="1" applyProtection="1">
      <alignment horizontal="left" vertical="center" wrapText="1"/>
      <protection locked="0"/>
    </xf>
    <xf numFmtId="0" fontId="6" fillId="33" borderId="20" xfId="0" applyFont="1" applyFill="1" applyBorder="1" applyAlignment="1" applyProtection="1">
      <alignment horizontal="left" vertical="center" wrapText="1"/>
      <protection locked="0"/>
    </xf>
    <xf numFmtId="0" fontId="6" fillId="33" borderId="0" xfId="0" applyFont="1" applyFill="1" applyBorder="1" applyAlignment="1" applyProtection="1" quotePrefix="1">
      <alignment horizontal="left" vertical="center" wrapText="1"/>
      <protection locked="0"/>
    </xf>
    <xf numFmtId="0" fontId="1" fillId="33" borderId="36" xfId="0" applyFont="1" applyFill="1" applyBorder="1" applyAlignment="1" applyProtection="1">
      <alignment horizontal="left" vertical="center" wrapText="1"/>
      <protection locked="0"/>
    </xf>
    <xf numFmtId="0" fontId="1" fillId="33" borderId="18" xfId="0" applyFont="1" applyFill="1" applyBorder="1" applyAlignment="1" applyProtection="1" quotePrefix="1">
      <alignment horizontal="left" vertical="center" wrapText="1"/>
      <protection locked="0"/>
    </xf>
    <xf numFmtId="0" fontId="1" fillId="33" borderId="21" xfId="0" applyFont="1" applyFill="1" applyBorder="1" applyAlignment="1" applyProtection="1">
      <alignment horizontal="left" vertical="center" wrapText="1"/>
      <protection locked="0"/>
    </xf>
    <xf numFmtId="166" fontId="1" fillId="37" borderId="10" xfId="0" applyNumberFormat="1" applyFont="1" applyFill="1" applyBorder="1" applyAlignment="1" applyProtection="1">
      <alignment horizontal="left" vertical="center" wrapText="1"/>
      <protection locked="0"/>
    </xf>
    <xf numFmtId="0" fontId="1" fillId="33" borderId="32" xfId="0" applyFont="1" applyFill="1" applyBorder="1" applyAlignment="1" applyProtection="1">
      <alignment horizontal="left" vertical="center" wrapText="1"/>
      <protection locked="0"/>
    </xf>
    <xf numFmtId="0" fontId="1" fillId="33" borderId="20" xfId="0" applyFont="1" applyFill="1" applyBorder="1" applyAlignment="1" applyProtection="1" quotePrefix="1">
      <alignment horizontal="left" vertical="center" wrapText="1"/>
      <protection locked="0"/>
    </xf>
    <xf numFmtId="0" fontId="1" fillId="33" borderId="0" xfId="0" applyFont="1" applyFill="1" applyBorder="1" applyAlignment="1" applyProtection="1" quotePrefix="1">
      <alignment horizontal="left"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yperlink_N2O_Biograce_final_BioGrace_GHG_calculations_-_version_4b_-_Public_N2O sheet after Ecofys requirements"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619125</xdr:colOff>
      <xdr:row>69</xdr:row>
      <xdr:rowOff>47625</xdr:rowOff>
    </xdr:from>
    <xdr:to>
      <xdr:col>32</xdr:col>
      <xdr:colOff>1152525</xdr:colOff>
      <xdr:row>72</xdr:row>
      <xdr:rowOff>190500</xdr:rowOff>
    </xdr:to>
    <xdr:pic>
      <xdr:nvPicPr>
        <xdr:cNvPr id="1" name="Picture 183"/>
        <xdr:cNvPicPr preferRelativeResize="1">
          <a:picLocks noChangeAspect="1"/>
        </xdr:cNvPicPr>
      </xdr:nvPicPr>
      <xdr:blipFill>
        <a:blip r:embed="rId1"/>
        <a:stretch>
          <a:fillRect/>
        </a:stretch>
      </xdr:blipFill>
      <xdr:spPr>
        <a:xfrm>
          <a:off x="31880175" y="18830925"/>
          <a:ext cx="3076575" cy="733425"/>
        </a:xfrm>
        <a:prstGeom prst="rect">
          <a:avLst/>
        </a:prstGeom>
        <a:noFill/>
        <a:ln w="9525" cmpd="sng">
          <a:noFill/>
        </a:ln>
      </xdr:spPr>
    </xdr:pic>
    <xdr:clientData/>
  </xdr:twoCellAnchor>
  <xdr:twoCellAnchor editAs="oneCell">
    <xdr:from>
      <xdr:col>29</xdr:col>
      <xdr:colOff>619125</xdr:colOff>
      <xdr:row>72</xdr:row>
      <xdr:rowOff>304800</xdr:rowOff>
    </xdr:from>
    <xdr:to>
      <xdr:col>32</xdr:col>
      <xdr:colOff>1162050</xdr:colOff>
      <xdr:row>75</xdr:row>
      <xdr:rowOff>219075</xdr:rowOff>
    </xdr:to>
    <xdr:pic>
      <xdr:nvPicPr>
        <xdr:cNvPr id="2" name="Picture 4"/>
        <xdr:cNvPicPr preferRelativeResize="1">
          <a:picLocks noChangeAspect="1"/>
        </xdr:cNvPicPr>
      </xdr:nvPicPr>
      <xdr:blipFill>
        <a:blip r:embed="rId2"/>
        <a:srcRect l="34359" t="59411" r="32049" b="31028"/>
        <a:stretch>
          <a:fillRect/>
        </a:stretch>
      </xdr:blipFill>
      <xdr:spPr>
        <a:xfrm>
          <a:off x="31880175" y="19678650"/>
          <a:ext cx="3086100" cy="742950"/>
        </a:xfrm>
        <a:prstGeom prst="rect">
          <a:avLst/>
        </a:prstGeom>
        <a:noFill/>
        <a:ln w="1" cmpd="sng">
          <a:noFill/>
        </a:ln>
      </xdr:spPr>
    </xdr:pic>
    <xdr:clientData/>
  </xdr:twoCellAnchor>
  <xdr:twoCellAnchor editAs="oneCell">
    <xdr:from>
      <xdr:col>0</xdr:col>
      <xdr:colOff>2409825</xdr:colOff>
      <xdr:row>0</xdr:row>
      <xdr:rowOff>66675</xdr:rowOff>
    </xdr:from>
    <xdr:to>
      <xdr:col>2</xdr:col>
      <xdr:colOff>9525</xdr:colOff>
      <xdr:row>0</xdr:row>
      <xdr:rowOff>1257300</xdr:rowOff>
    </xdr:to>
    <xdr:pic>
      <xdr:nvPicPr>
        <xdr:cNvPr id="3" name="Picture 17"/>
        <xdr:cNvPicPr preferRelativeResize="1">
          <a:picLocks noChangeAspect="1"/>
        </xdr:cNvPicPr>
      </xdr:nvPicPr>
      <xdr:blipFill>
        <a:blip r:embed="rId3"/>
        <a:srcRect l="23046" t="9634" r="52441" b="74089"/>
        <a:stretch>
          <a:fillRect/>
        </a:stretch>
      </xdr:blipFill>
      <xdr:spPr>
        <a:xfrm>
          <a:off x="2409825" y="66675"/>
          <a:ext cx="2390775" cy="1190625"/>
        </a:xfrm>
        <a:prstGeom prst="rect">
          <a:avLst/>
        </a:prstGeom>
        <a:noFill/>
        <a:ln w="1" cmpd="sng">
          <a:noFill/>
        </a:ln>
      </xdr:spPr>
    </xdr:pic>
    <xdr:clientData/>
  </xdr:twoCellAnchor>
  <xdr:twoCellAnchor editAs="oneCell">
    <xdr:from>
      <xdr:col>0</xdr:col>
      <xdr:colOff>76200</xdr:colOff>
      <xdr:row>0</xdr:row>
      <xdr:rowOff>76200</xdr:rowOff>
    </xdr:from>
    <xdr:to>
      <xdr:col>0</xdr:col>
      <xdr:colOff>1238250</xdr:colOff>
      <xdr:row>0</xdr:row>
      <xdr:rowOff>1285875</xdr:rowOff>
    </xdr:to>
    <xdr:pic>
      <xdr:nvPicPr>
        <xdr:cNvPr id="4" name="Picture 18"/>
        <xdr:cNvPicPr preferRelativeResize="1">
          <a:picLocks noChangeAspect="1"/>
        </xdr:cNvPicPr>
      </xdr:nvPicPr>
      <xdr:blipFill>
        <a:blip r:embed="rId3"/>
        <a:srcRect l="11132" t="24739" r="76953" b="58723"/>
        <a:stretch>
          <a:fillRect/>
        </a:stretch>
      </xdr:blipFill>
      <xdr:spPr>
        <a:xfrm>
          <a:off x="76200" y="76200"/>
          <a:ext cx="1162050" cy="1209675"/>
        </a:xfrm>
        <a:prstGeom prst="rect">
          <a:avLst/>
        </a:prstGeom>
        <a:noFill/>
        <a:ln w="1" cmpd="sng">
          <a:noFill/>
        </a:ln>
      </xdr:spPr>
    </xdr:pic>
    <xdr:clientData/>
  </xdr:twoCellAnchor>
  <xdr:twoCellAnchor editAs="oneCell">
    <xdr:from>
      <xdr:col>0</xdr:col>
      <xdr:colOff>1257300</xdr:colOff>
      <xdr:row>0</xdr:row>
      <xdr:rowOff>76200</xdr:rowOff>
    </xdr:from>
    <xdr:to>
      <xdr:col>0</xdr:col>
      <xdr:colOff>2419350</xdr:colOff>
      <xdr:row>0</xdr:row>
      <xdr:rowOff>1247775</xdr:rowOff>
    </xdr:to>
    <xdr:pic>
      <xdr:nvPicPr>
        <xdr:cNvPr id="5" name="Picture 19"/>
        <xdr:cNvPicPr preferRelativeResize="1">
          <a:picLocks noChangeAspect="1"/>
        </xdr:cNvPicPr>
      </xdr:nvPicPr>
      <xdr:blipFill>
        <a:blip r:embed="rId3"/>
        <a:srcRect l="11132" t="40493" r="76953" b="43489"/>
        <a:stretch>
          <a:fillRect/>
        </a:stretch>
      </xdr:blipFill>
      <xdr:spPr>
        <a:xfrm>
          <a:off x="1257300" y="76200"/>
          <a:ext cx="1162050" cy="1171575"/>
        </a:xfrm>
        <a:prstGeom prst="rect">
          <a:avLst/>
        </a:prstGeom>
        <a:noFill/>
        <a:ln w="1" cmpd="sng">
          <a:noFill/>
        </a:ln>
      </xdr:spPr>
    </xdr:pic>
    <xdr:clientData/>
  </xdr:twoCellAnchor>
  <xdr:twoCellAnchor editAs="oneCell">
    <xdr:from>
      <xdr:col>2</xdr:col>
      <xdr:colOff>47625</xdr:colOff>
      <xdr:row>0</xdr:row>
      <xdr:rowOff>76200</xdr:rowOff>
    </xdr:from>
    <xdr:to>
      <xdr:col>6</xdr:col>
      <xdr:colOff>38100</xdr:colOff>
      <xdr:row>0</xdr:row>
      <xdr:rowOff>1266825</xdr:rowOff>
    </xdr:to>
    <xdr:pic>
      <xdr:nvPicPr>
        <xdr:cNvPr id="6" name="Picture 20"/>
        <xdr:cNvPicPr preferRelativeResize="1">
          <a:picLocks noChangeAspect="1"/>
        </xdr:cNvPicPr>
      </xdr:nvPicPr>
      <xdr:blipFill>
        <a:blip r:embed="rId4"/>
        <a:srcRect l="36914" t="40547" r="23144" b="42218"/>
        <a:stretch>
          <a:fillRect/>
        </a:stretch>
      </xdr:blipFill>
      <xdr:spPr>
        <a:xfrm>
          <a:off x="4838700" y="76200"/>
          <a:ext cx="3676650" cy="1190625"/>
        </a:xfrm>
        <a:prstGeom prst="rect">
          <a:avLst/>
        </a:prstGeom>
        <a:noFill/>
        <a:ln w="1" cmpd="sng">
          <a:noFill/>
        </a:ln>
      </xdr:spPr>
    </xdr:pic>
    <xdr:clientData/>
  </xdr:twoCellAnchor>
  <xdr:twoCellAnchor editAs="oneCell">
    <xdr:from>
      <xdr:col>7</xdr:col>
      <xdr:colOff>0</xdr:colOff>
      <xdr:row>0</xdr:row>
      <xdr:rowOff>723900</xdr:rowOff>
    </xdr:from>
    <xdr:to>
      <xdr:col>8</xdr:col>
      <xdr:colOff>1352550</xdr:colOff>
      <xdr:row>0</xdr:row>
      <xdr:rowOff>1247775</xdr:rowOff>
    </xdr:to>
    <xdr:pic>
      <xdr:nvPicPr>
        <xdr:cNvPr id="7" name="Picture 27" descr="Logotipo IDAE. Compromiso público con la Eficiencia Energética y las Energías Renovables"/>
        <xdr:cNvPicPr preferRelativeResize="1">
          <a:picLocks noChangeAspect="1"/>
        </xdr:cNvPicPr>
      </xdr:nvPicPr>
      <xdr:blipFill>
        <a:blip r:embed="rId5"/>
        <a:stretch>
          <a:fillRect/>
        </a:stretch>
      </xdr:blipFill>
      <xdr:spPr>
        <a:xfrm>
          <a:off x="9648825" y="723900"/>
          <a:ext cx="1952625" cy="523875"/>
        </a:xfrm>
        <a:prstGeom prst="rect">
          <a:avLst/>
        </a:prstGeom>
        <a:noFill/>
        <a:ln w="9525" cmpd="sng">
          <a:noFill/>
        </a:ln>
      </xdr:spPr>
    </xdr:pic>
    <xdr:clientData/>
  </xdr:twoCellAnchor>
  <xdr:twoCellAnchor editAs="oneCell">
    <xdr:from>
      <xdr:col>6</xdr:col>
      <xdr:colOff>95250</xdr:colOff>
      <xdr:row>0</xdr:row>
      <xdr:rowOff>76200</xdr:rowOff>
    </xdr:from>
    <xdr:to>
      <xdr:col>8</xdr:col>
      <xdr:colOff>1362075</xdr:colOff>
      <xdr:row>0</xdr:row>
      <xdr:rowOff>638175</xdr:rowOff>
    </xdr:to>
    <xdr:pic>
      <xdr:nvPicPr>
        <xdr:cNvPr id="8" name="Picture 28" descr="Centro de Investigaciones Energéticas, Medioambientales y Tecnológicas"/>
        <xdr:cNvPicPr preferRelativeResize="1">
          <a:picLocks noChangeAspect="1"/>
        </xdr:cNvPicPr>
      </xdr:nvPicPr>
      <xdr:blipFill>
        <a:blip r:embed="rId6"/>
        <a:stretch>
          <a:fillRect/>
        </a:stretch>
      </xdr:blipFill>
      <xdr:spPr>
        <a:xfrm>
          <a:off x="8572500" y="76200"/>
          <a:ext cx="30384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21"/>
  <sheetViews>
    <sheetView tabSelected="1" zoomScale="80" zoomScaleNormal="80" zoomScalePageLayoutView="0" workbookViewId="0" topLeftCell="A4">
      <selection activeCell="C39" sqref="C39"/>
    </sheetView>
  </sheetViews>
  <sheetFormatPr defaultColWidth="11.421875" defaultRowHeight="12.75"/>
  <cols>
    <col min="1" max="1" width="55.00390625" style="7" customWidth="1"/>
    <col min="2" max="2" width="16.8515625" style="7" customWidth="1"/>
    <col min="3" max="3" width="19.7109375" style="7" customWidth="1"/>
    <col min="4" max="4" width="12.28125" style="7" customWidth="1"/>
    <col min="5" max="5" width="7.7109375" style="7" customWidth="1"/>
    <col min="6" max="6" width="15.57421875" style="7" customWidth="1"/>
    <col min="7" max="7" width="17.57421875" style="7" customWidth="1"/>
    <col min="8" max="8" width="9.00390625" style="7" customWidth="1"/>
    <col min="9" max="9" width="20.57421875" style="7" customWidth="1"/>
    <col min="10" max="10" width="8.57421875" style="7" customWidth="1"/>
    <col min="11" max="11" width="12.00390625" style="7" customWidth="1"/>
    <col min="12" max="12" width="11.421875" style="7" customWidth="1"/>
    <col min="13" max="13" width="15.00390625" style="7" customWidth="1"/>
    <col min="14" max="14" width="13.7109375" style="7" customWidth="1"/>
    <col min="15" max="15" width="21.00390625" style="7" customWidth="1"/>
    <col min="16" max="16" width="13.57421875" style="7" customWidth="1"/>
    <col min="17" max="17" width="11.421875" style="7" customWidth="1"/>
    <col min="18" max="18" width="13.7109375" style="7" customWidth="1"/>
    <col min="19" max="21" width="17.57421875" style="7" customWidth="1"/>
    <col min="22" max="22" width="20.8515625" style="7" customWidth="1"/>
    <col min="23" max="24" width="11.421875" style="7" customWidth="1"/>
    <col min="25" max="25" width="12.57421875" style="7" customWidth="1"/>
    <col min="26" max="26" width="30.8515625" style="7" customWidth="1"/>
    <col min="27" max="29" width="11.421875" style="7" customWidth="1"/>
    <col min="30" max="30" width="12.8515625" style="8" customWidth="1"/>
    <col min="31" max="31" width="11.421875" style="8" customWidth="1"/>
    <col min="32" max="32" width="13.8515625" style="8" customWidth="1"/>
    <col min="33" max="33" width="19.8515625" style="8" customWidth="1"/>
    <col min="34" max="16384" width="11.421875" style="8" customWidth="1"/>
  </cols>
  <sheetData>
    <row r="1" spans="1:29" s="6" customFormat="1" ht="102.75" customHeight="1">
      <c r="A1" s="5"/>
      <c r="B1" s="5"/>
      <c r="C1" s="5"/>
      <c r="D1" s="5"/>
      <c r="E1" s="5"/>
      <c r="F1" s="5"/>
      <c r="G1" s="5"/>
      <c r="H1" s="5"/>
      <c r="I1" s="278"/>
      <c r="J1" s="5"/>
      <c r="K1" s="5"/>
      <c r="L1" s="5"/>
      <c r="M1" s="5"/>
      <c r="N1" s="5"/>
      <c r="O1" s="5"/>
      <c r="P1" s="5"/>
      <c r="Q1" s="5"/>
      <c r="R1" s="5"/>
      <c r="S1" s="5"/>
      <c r="T1" s="5"/>
      <c r="U1" s="5"/>
      <c r="V1" s="5"/>
      <c r="W1" s="5"/>
      <c r="X1" s="5"/>
      <c r="Y1" s="5"/>
      <c r="Z1" s="5"/>
      <c r="AA1" s="5"/>
      <c r="AB1" s="5"/>
      <c r="AC1" s="5"/>
    </row>
    <row r="2" spans="1:29" s="20" customFormat="1" ht="27.75" customHeight="1">
      <c r="A2" s="178" t="s">
        <v>80</v>
      </c>
      <c r="B2" s="179"/>
      <c r="C2" s="180"/>
      <c r="D2" s="180"/>
      <c r="E2" s="180"/>
      <c r="F2" s="180"/>
      <c r="G2" s="180"/>
      <c r="H2" s="180"/>
      <c r="I2" s="181"/>
      <c r="J2" s="33"/>
      <c r="K2" s="33"/>
      <c r="L2" s="33"/>
      <c r="M2" s="171"/>
      <c r="N2" s="18"/>
      <c r="O2" s="5"/>
      <c r="P2" s="5"/>
      <c r="Q2" s="19"/>
      <c r="R2" s="19"/>
      <c r="S2" s="19"/>
      <c r="T2" s="19"/>
      <c r="U2" s="19"/>
      <c r="V2" s="19"/>
      <c r="W2" s="19"/>
      <c r="X2" s="19"/>
      <c r="Y2" s="19"/>
      <c r="Z2" s="19"/>
      <c r="AA2" s="19"/>
      <c r="AB2" s="19"/>
      <c r="AC2" s="19"/>
    </row>
    <row r="3" spans="1:9" s="18" customFormat="1" ht="20.25" customHeight="1">
      <c r="A3" s="21" t="s">
        <v>162</v>
      </c>
      <c r="B3" s="22"/>
      <c r="C3" s="1"/>
      <c r="D3" s="1"/>
      <c r="E3" s="1"/>
      <c r="F3" s="1"/>
      <c r="G3" s="1"/>
      <c r="H3" s="1"/>
      <c r="I3" s="23"/>
    </row>
    <row r="4" spans="1:29" s="6" customFormat="1" ht="23.25" customHeight="1">
      <c r="A4" s="24" t="s">
        <v>116</v>
      </c>
      <c r="B4" s="2"/>
      <c r="C4" s="2"/>
      <c r="D4" s="2"/>
      <c r="E4" s="2"/>
      <c r="F4" s="2"/>
      <c r="G4" s="25"/>
      <c r="H4" s="1"/>
      <c r="I4" s="23"/>
      <c r="N4" s="5"/>
      <c r="O4" s="5"/>
      <c r="P4" s="5"/>
      <c r="Q4" s="5"/>
      <c r="R4" s="5"/>
      <c r="S4" s="5"/>
      <c r="T4" s="5"/>
      <c r="U4" s="5"/>
      <c r="V4" s="5"/>
      <c r="W4" s="5"/>
      <c r="X4" s="5"/>
      <c r="Y4" s="5"/>
      <c r="Z4" s="5"/>
      <c r="AA4" s="5"/>
      <c r="AB4" s="5"/>
      <c r="AC4" s="5"/>
    </row>
    <row r="5" spans="1:29" s="6" customFormat="1" ht="15" customHeight="1">
      <c r="A5" s="24" t="s">
        <v>229</v>
      </c>
      <c r="B5" s="2"/>
      <c r="C5" s="2"/>
      <c r="D5" s="2"/>
      <c r="E5" s="2"/>
      <c r="F5" s="2"/>
      <c r="G5" s="25"/>
      <c r="H5" s="25"/>
      <c r="I5" s="26"/>
      <c r="J5" s="5"/>
      <c r="K5" s="5"/>
      <c r="L5" s="27"/>
      <c r="M5" s="27"/>
      <c r="N5" s="5"/>
      <c r="O5" s="5"/>
      <c r="P5" s="5"/>
      <c r="Q5" s="5"/>
      <c r="R5" s="5"/>
      <c r="S5" s="5"/>
      <c r="T5" s="5"/>
      <c r="U5" s="5"/>
      <c r="V5" s="5"/>
      <c r="W5" s="5"/>
      <c r="X5" s="5"/>
      <c r="Y5" s="5"/>
      <c r="Z5" s="5"/>
      <c r="AA5" s="5"/>
      <c r="AB5" s="5"/>
      <c r="AC5" s="5"/>
    </row>
    <row r="6" spans="1:29" s="6" customFormat="1" ht="29.25" customHeight="1">
      <c r="A6" s="28" t="s">
        <v>206</v>
      </c>
      <c r="B6" s="29"/>
      <c r="C6" s="29"/>
      <c r="D6" s="29"/>
      <c r="E6" s="29"/>
      <c r="F6" s="29"/>
      <c r="G6" s="29"/>
      <c r="H6" s="25"/>
      <c r="I6" s="26"/>
      <c r="J6" s="5"/>
      <c r="K6" s="5"/>
      <c r="L6" s="27"/>
      <c r="M6" s="27"/>
      <c r="N6" s="5"/>
      <c r="O6" s="5"/>
      <c r="P6" s="5"/>
      <c r="Q6" s="5"/>
      <c r="R6" s="5"/>
      <c r="S6" s="5"/>
      <c r="T6" s="5"/>
      <c r="U6" s="5"/>
      <c r="V6" s="5"/>
      <c r="W6" s="5"/>
      <c r="X6" s="5"/>
      <c r="Y6" s="5"/>
      <c r="Z6" s="5"/>
      <c r="AA6" s="5"/>
      <c r="AB6" s="5"/>
      <c r="AC6" s="5"/>
    </row>
    <row r="7" spans="1:29" s="6" customFormat="1" ht="34.5" customHeight="1">
      <c r="A7" s="297" t="s">
        <v>160</v>
      </c>
      <c r="B7" s="298"/>
      <c r="C7" s="298"/>
      <c r="D7" s="298"/>
      <c r="E7" s="298"/>
      <c r="F7" s="298"/>
      <c r="G7" s="298"/>
      <c r="H7" s="25"/>
      <c r="I7" s="26"/>
      <c r="J7" s="5"/>
      <c r="K7" s="5"/>
      <c r="L7" s="27"/>
      <c r="M7" s="27"/>
      <c r="N7" s="5"/>
      <c r="O7" s="5"/>
      <c r="P7" s="5"/>
      <c r="Q7" s="5"/>
      <c r="R7" s="5"/>
      <c r="S7" s="5"/>
      <c r="T7" s="5"/>
      <c r="U7" s="5"/>
      <c r="V7" s="5"/>
      <c r="W7" s="5"/>
      <c r="X7" s="5"/>
      <c r="Y7" s="5"/>
      <c r="Z7" s="5"/>
      <c r="AA7" s="5"/>
      <c r="AB7" s="5"/>
      <c r="AC7" s="5"/>
    </row>
    <row r="8" spans="1:29" s="6" customFormat="1" ht="20.25" customHeight="1">
      <c r="A8" s="290" t="s">
        <v>159</v>
      </c>
      <c r="B8" s="291"/>
      <c r="C8" s="291"/>
      <c r="D8" s="291"/>
      <c r="E8" s="291"/>
      <c r="F8" s="291"/>
      <c r="G8" s="291"/>
      <c r="H8" s="25"/>
      <c r="I8" s="26"/>
      <c r="J8" s="5"/>
      <c r="K8" s="5"/>
      <c r="L8" s="27"/>
      <c r="M8" s="27"/>
      <c r="N8" s="5"/>
      <c r="O8" s="5"/>
      <c r="P8" s="5"/>
      <c r="Q8" s="5"/>
      <c r="R8" s="5"/>
      <c r="S8" s="5"/>
      <c r="T8" s="5"/>
      <c r="U8" s="5"/>
      <c r="V8" s="5"/>
      <c r="W8" s="5"/>
      <c r="X8" s="5"/>
      <c r="Y8" s="5"/>
      <c r="Z8" s="5"/>
      <c r="AA8" s="5"/>
      <c r="AB8" s="5"/>
      <c r="AC8" s="5"/>
    </row>
    <row r="9" spans="1:29" s="6" customFormat="1" ht="34.5" customHeight="1">
      <c r="A9" s="297" t="s">
        <v>161</v>
      </c>
      <c r="B9" s="298"/>
      <c r="C9" s="298"/>
      <c r="D9" s="298"/>
      <c r="E9" s="298"/>
      <c r="F9" s="298"/>
      <c r="G9" s="298"/>
      <c r="H9" s="25"/>
      <c r="I9" s="26"/>
      <c r="J9" s="5"/>
      <c r="K9" s="5"/>
      <c r="L9" s="27"/>
      <c r="M9" s="27"/>
      <c r="N9" s="5"/>
      <c r="O9" s="5"/>
      <c r="P9" s="5"/>
      <c r="Q9" s="5"/>
      <c r="R9" s="5"/>
      <c r="S9" s="5"/>
      <c r="T9" s="5"/>
      <c r="U9" s="5"/>
      <c r="V9" s="5"/>
      <c r="W9" s="5"/>
      <c r="X9" s="5"/>
      <c r="Y9" s="5"/>
      <c r="Z9" s="5"/>
      <c r="AA9" s="5"/>
      <c r="AB9" s="5"/>
      <c r="AC9" s="5"/>
    </row>
    <row r="10" spans="1:29" s="6" customFormat="1" ht="28.5" customHeight="1">
      <c r="A10" s="297" t="s">
        <v>207</v>
      </c>
      <c r="B10" s="298"/>
      <c r="C10" s="298"/>
      <c r="D10" s="298"/>
      <c r="E10" s="298"/>
      <c r="F10" s="298"/>
      <c r="G10" s="298"/>
      <c r="H10" s="25"/>
      <c r="I10" s="26"/>
      <c r="J10" s="5"/>
      <c r="K10" s="5"/>
      <c r="L10" s="27"/>
      <c r="M10" s="27"/>
      <c r="N10" s="5"/>
      <c r="O10" s="5"/>
      <c r="P10" s="5"/>
      <c r="Q10" s="5"/>
      <c r="R10" s="5"/>
      <c r="S10" s="5"/>
      <c r="T10" s="5"/>
      <c r="U10" s="5"/>
      <c r="V10" s="5"/>
      <c r="W10" s="5"/>
      <c r="X10" s="5"/>
      <c r="Y10" s="5"/>
      <c r="Z10" s="5"/>
      <c r="AA10" s="5"/>
      <c r="AB10" s="5"/>
      <c r="AC10" s="5"/>
    </row>
    <row r="11" spans="1:29" s="6" customFormat="1" ht="21" customHeight="1">
      <c r="A11" s="297" t="s">
        <v>77</v>
      </c>
      <c r="B11" s="298"/>
      <c r="C11" s="298"/>
      <c r="D11" s="298"/>
      <c r="E11" s="298"/>
      <c r="F11" s="298"/>
      <c r="G11" s="298"/>
      <c r="H11" s="25"/>
      <c r="I11" s="26"/>
      <c r="J11" s="5"/>
      <c r="K11" s="5"/>
      <c r="L11" s="27"/>
      <c r="M11" s="27"/>
      <c r="N11" s="5"/>
      <c r="O11" s="5"/>
      <c r="P11" s="5"/>
      <c r="Q11" s="5"/>
      <c r="R11" s="5"/>
      <c r="S11" s="5"/>
      <c r="T11" s="5"/>
      <c r="U11" s="5"/>
      <c r="V11" s="5"/>
      <c r="W11" s="5"/>
      <c r="X11" s="5"/>
      <c r="Y11" s="5"/>
      <c r="Z11" s="5"/>
      <c r="AA11" s="5"/>
      <c r="AB11" s="5"/>
      <c r="AC11" s="5"/>
    </row>
    <row r="12" spans="1:29" s="6" customFormat="1" ht="31.5" customHeight="1">
      <c r="A12" s="297" t="s">
        <v>81</v>
      </c>
      <c r="B12" s="298"/>
      <c r="C12" s="298"/>
      <c r="D12" s="298"/>
      <c r="E12" s="298"/>
      <c r="F12" s="298"/>
      <c r="G12" s="298"/>
      <c r="H12" s="30"/>
      <c r="I12" s="26"/>
      <c r="J12" s="5"/>
      <c r="K12" s="5"/>
      <c r="L12" s="31"/>
      <c r="M12" s="31"/>
      <c r="N12" s="31"/>
      <c r="O12" s="31"/>
      <c r="P12" s="31"/>
      <c r="Q12" s="5"/>
      <c r="R12" s="5"/>
      <c r="S12" s="5"/>
      <c r="T12" s="5"/>
      <c r="U12" s="5"/>
      <c r="V12" s="5"/>
      <c r="W12" s="5"/>
      <c r="X12" s="5"/>
      <c r="Y12" s="5"/>
      <c r="Z12" s="5"/>
      <c r="AA12" s="5"/>
      <c r="AB12" s="5"/>
      <c r="AC12" s="5"/>
    </row>
    <row r="13" spans="1:29" s="6" customFormat="1" ht="59.25" customHeight="1">
      <c r="A13" s="297" t="s">
        <v>163</v>
      </c>
      <c r="B13" s="298"/>
      <c r="C13" s="298"/>
      <c r="D13" s="298"/>
      <c r="E13" s="298"/>
      <c r="F13" s="298"/>
      <c r="G13" s="298"/>
      <c r="H13" s="25"/>
      <c r="I13" s="26"/>
      <c r="J13" s="5"/>
      <c r="K13" s="5"/>
      <c r="L13" s="27"/>
      <c r="M13" s="27"/>
      <c r="N13" s="5"/>
      <c r="O13" s="5"/>
      <c r="P13" s="5"/>
      <c r="Q13" s="5"/>
      <c r="R13" s="5"/>
      <c r="S13" s="5"/>
      <c r="T13" s="5"/>
      <c r="U13" s="5"/>
      <c r="V13" s="5"/>
      <c r="W13" s="5"/>
      <c r="X13" s="5"/>
      <c r="Y13" s="5"/>
      <c r="Z13" s="5"/>
      <c r="AA13" s="5"/>
      <c r="AB13" s="5"/>
      <c r="AC13" s="5"/>
    </row>
    <row r="14" spans="1:29" s="6" customFormat="1" ht="54" customHeight="1">
      <c r="A14" s="297" t="s">
        <v>82</v>
      </c>
      <c r="B14" s="298"/>
      <c r="C14" s="298"/>
      <c r="D14" s="298"/>
      <c r="E14" s="298"/>
      <c r="F14" s="298"/>
      <c r="G14" s="298"/>
      <c r="H14" s="25"/>
      <c r="I14" s="26"/>
      <c r="J14" s="5"/>
      <c r="K14" s="5"/>
      <c r="L14" s="27"/>
      <c r="M14" s="27"/>
      <c r="N14" s="5"/>
      <c r="O14" s="5"/>
      <c r="P14" s="5"/>
      <c r="Q14" s="5"/>
      <c r="R14" s="5"/>
      <c r="S14" s="5"/>
      <c r="T14" s="5"/>
      <c r="U14" s="5"/>
      <c r="V14" s="5"/>
      <c r="W14" s="5"/>
      <c r="X14" s="5"/>
      <c r="Y14" s="5"/>
      <c r="Z14" s="5"/>
      <c r="AA14" s="5"/>
      <c r="AB14" s="5"/>
      <c r="AC14" s="5"/>
    </row>
    <row r="15" spans="1:29" s="6" customFormat="1" ht="41.25" customHeight="1">
      <c r="A15" s="297" t="s">
        <v>208</v>
      </c>
      <c r="B15" s="298"/>
      <c r="C15" s="298"/>
      <c r="D15" s="298"/>
      <c r="E15" s="298"/>
      <c r="F15" s="298"/>
      <c r="G15" s="298"/>
      <c r="H15" s="25"/>
      <c r="I15" s="26"/>
      <c r="J15" s="5"/>
      <c r="K15" s="5"/>
      <c r="L15" s="27"/>
      <c r="M15" s="27"/>
      <c r="N15" s="5"/>
      <c r="O15" s="5"/>
      <c r="P15" s="5"/>
      <c r="Q15" s="5"/>
      <c r="R15" s="5"/>
      <c r="S15" s="5"/>
      <c r="T15" s="5"/>
      <c r="U15" s="5"/>
      <c r="V15" s="5"/>
      <c r="W15" s="5"/>
      <c r="X15" s="5"/>
      <c r="Y15" s="5"/>
      <c r="Z15" s="5"/>
      <c r="AA15" s="5"/>
      <c r="AB15" s="5"/>
      <c r="AC15" s="5"/>
    </row>
    <row r="16" spans="1:29" s="6" customFormat="1" ht="19.5" customHeight="1">
      <c r="A16" s="290" t="s">
        <v>164</v>
      </c>
      <c r="B16" s="291"/>
      <c r="C16" s="291"/>
      <c r="D16" s="291"/>
      <c r="E16" s="291"/>
      <c r="F16" s="291"/>
      <c r="G16" s="291"/>
      <c r="H16" s="25"/>
      <c r="I16" s="26"/>
      <c r="J16" s="5"/>
      <c r="K16" s="5"/>
      <c r="L16" s="27"/>
      <c r="M16" s="27"/>
      <c r="N16" s="5"/>
      <c r="O16" s="5"/>
      <c r="P16" s="5"/>
      <c r="Q16" s="5"/>
      <c r="R16" s="5"/>
      <c r="S16" s="5"/>
      <c r="T16" s="5"/>
      <c r="U16" s="5"/>
      <c r="V16" s="5"/>
      <c r="W16" s="5"/>
      <c r="X16" s="5"/>
      <c r="Y16" s="5"/>
      <c r="Z16" s="5"/>
      <c r="AA16" s="5"/>
      <c r="AB16" s="5"/>
      <c r="AC16" s="5"/>
    </row>
    <row r="17" spans="1:29" s="6" customFormat="1" ht="28.5" customHeight="1">
      <c r="A17" s="292" t="s">
        <v>165</v>
      </c>
      <c r="B17" s="293"/>
      <c r="C17" s="293"/>
      <c r="D17" s="293"/>
      <c r="E17" s="293"/>
      <c r="F17" s="293"/>
      <c r="G17" s="293"/>
      <c r="H17" s="32"/>
      <c r="I17" s="17"/>
      <c r="J17" s="5"/>
      <c r="K17" s="5"/>
      <c r="L17" s="27"/>
      <c r="M17" s="27"/>
      <c r="N17" s="5"/>
      <c r="O17" s="5"/>
      <c r="P17" s="5"/>
      <c r="Q17" s="5"/>
      <c r="R17" s="5"/>
      <c r="S17" s="5"/>
      <c r="T17" s="5"/>
      <c r="U17" s="5"/>
      <c r="V17" s="5"/>
      <c r="W17" s="5"/>
      <c r="X17" s="5"/>
      <c r="Y17" s="5"/>
      <c r="Z17" s="5"/>
      <c r="AA17" s="5"/>
      <c r="AB17" s="5"/>
      <c r="AC17" s="5"/>
    </row>
    <row r="18" spans="1:29" s="20" customFormat="1" ht="15.75" customHeight="1">
      <c r="A18" s="33"/>
      <c r="B18" s="33"/>
      <c r="C18" s="34"/>
      <c r="D18" s="35"/>
      <c r="E18" s="35"/>
      <c r="F18" s="35"/>
      <c r="G18" s="19"/>
      <c r="H18" s="36"/>
      <c r="I18" s="19"/>
      <c r="J18" s="37"/>
      <c r="K18" s="36"/>
      <c r="L18" s="19"/>
      <c r="M18" s="37"/>
      <c r="N18" s="5"/>
      <c r="O18" s="5"/>
      <c r="P18" s="5"/>
      <c r="Q18" s="19"/>
      <c r="R18" s="19"/>
      <c r="S18" s="19"/>
      <c r="T18" s="19"/>
      <c r="U18" s="19"/>
      <c r="V18" s="19"/>
      <c r="W18" s="19"/>
      <c r="X18" s="19"/>
      <c r="Y18" s="19"/>
      <c r="Z18" s="19"/>
      <c r="AA18" s="19"/>
      <c r="AB18" s="19"/>
      <c r="AC18" s="19"/>
    </row>
    <row r="19" spans="1:29" s="6" customFormat="1" ht="20.25" customHeight="1">
      <c r="A19" s="174" t="s">
        <v>12</v>
      </c>
      <c r="B19" s="175"/>
      <c r="C19" s="176"/>
      <c r="D19" s="176"/>
      <c r="E19" s="176"/>
      <c r="F19" s="176"/>
      <c r="G19" s="176"/>
      <c r="H19" s="176"/>
      <c r="I19" s="177"/>
      <c r="J19" s="5"/>
      <c r="K19" s="5"/>
      <c r="L19" s="5"/>
      <c r="M19" s="5"/>
      <c r="N19" s="5"/>
      <c r="O19" s="5"/>
      <c r="P19" s="5"/>
      <c r="Q19" s="5"/>
      <c r="R19" s="5"/>
      <c r="S19" s="5"/>
      <c r="T19" s="5"/>
      <c r="U19" s="5"/>
      <c r="V19" s="5"/>
      <c r="W19" s="5"/>
      <c r="X19" s="5"/>
      <c r="Y19" s="5"/>
      <c r="Z19" s="5"/>
      <c r="AA19" s="5"/>
      <c r="AB19" s="5"/>
      <c r="AC19" s="5"/>
    </row>
    <row r="20" spans="1:29" s="6" customFormat="1" ht="27" customHeight="1">
      <c r="A20" s="38" t="s">
        <v>166</v>
      </c>
      <c r="B20" s="3"/>
      <c r="C20" s="3"/>
      <c r="D20" s="3"/>
      <c r="E20" s="3"/>
      <c r="F20" s="3"/>
      <c r="G20" s="3"/>
      <c r="H20" s="3"/>
      <c r="I20" s="4"/>
      <c r="J20" s="5"/>
      <c r="K20" s="5"/>
      <c r="L20" s="5"/>
      <c r="M20" s="5"/>
      <c r="N20" s="5"/>
      <c r="O20" s="5"/>
      <c r="P20" s="5"/>
      <c r="Q20" s="5"/>
      <c r="R20" s="5"/>
      <c r="S20" s="5"/>
      <c r="T20" s="5"/>
      <c r="U20" s="5"/>
      <c r="V20" s="5"/>
      <c r="W20" s="5"/>
      <c r="X20" s="5"/>
      <c r="Y20" s="5"/>
      <c r="Z20" s="5"/>
      <c r="AA20" s="5"/>
      <c r="AB20" s="5"/>
      <c r="AC20" s="5"/>
    </row>
    <row r="21" spans="1:29" s="6" customFormat="1" ht="15.75" customHeight="1">
      <c r="A21" s="39" t="s">
        <v>167</v>
      </c>
      <c r="B21" s="2"/>
      <c r="C21" s="40"/>
      <c r="D21" s="2"/>
      <c r="E21" s="2"/>
      <c r="F21" s="2"/>
      <c r="G21" s="41"/>
      <c r="H21" s="2"/>
      <c r="I21" s="26"/>
      <c r="J21" s="5"/>
      <c r="K21" s="221" t="s">
        <v>35</v>
      </c>
      <c r="L21" s="222"/>
      <c r="M21" s="222"/>
      <c r="N21" s="222"/>
      <c r="O21" s="222"/>
      <c r="P21" s="222"/>
      <c r="Q21" s="222"/>
      <c r="R21" s="222"/>
      <c r="S21" s="222"/>
      <c r="T21" s="222"/>
      <c r="U21" s="222" t="s">
        <v>176</v>
      </c>
      <c r="V21" s="223" t="s">
        <v>177</v>
      </c>
      <c r="W21" s="5"/>
      <c r="X21" s="5"/>
      <c r="Y21" s="5"/>
      <c r="Z21" s="5"/>
      <c r="AA21" s="5"/>
      <c r="AB21" s="5"/>
      <c r="AC21" s="5"/>
    </row>
    <row r="22" spans="1:29" s="52" customFormat="1" ht="63.75" customHeight="1">
      <c r="A22" s="42"/>
      <c r="B22" s="43" t="s">
        <v>168</v>
      </c>
      <c r="C22" s="44" t="s">
        <v>227</v>
      </c>
      <c r="D22" s="45"/>
      <c r="E22" s="46"/>
      <c r="F22" s="182" t="s">
        <v>189</v>
      </c>
      <c r="G22" s="183"/>
      <c r="H22" s="46"/>
      <c r="I22" s="47"/>
      <c r="J22" s="48"/>
      <c r="K22" s="49" t="s">
        <v>169</v>
      </c>
      <c r="L22" s="50" t="s">
        <v>170</v>
      </c>
      <c r="M22" s="50" t="s">
        <v>210</v>
      </c>
      <c r="N22" s="50" t="s">
        <v>171</v>
      </c>
      <c r="O22" s="50" t="s">
        <v>172</v>
      </c>
      <c r="P22" s="50" t="s">
        <v>173</v>
      </c>
      <c r="Q22" s="50" t="s">
        <v>174</v>
      </c>
      <c r="R22" s="50" t="s">
        <v>175</v>
      </c>
      <c r="S22" s="50" t="s">
        <v>227</v>
      </c>
      <c r="T22" s="50" t="s">
        <v>228</v>
      </c>
      <c r="U22" s="224"/>
      <c r="V22" s="225"/>
      <c r="W22" s="51"/>
      <c r="X22" s="51"/>
      <c r="Y22" s="51"/>
      <c r="Z22" s="51"/>
      <c r="AA22" s="51"/>
      <c r="AB22" s="51"/>
      <c r="AC22" s="51"/>
    </row>
    <row r="23" spans="1:29" s="6" customFormat="1" ht="25.5">
      <c r="A23" s="53"/>
      <c r="B23" s="54" t="s">
        <v>178</v>
      </c>
      <c r="C23" s="55">
        <v>5000</v>
      </c>
      <c r="D23" s="56" t="s">
        <v>181</v>
      </c>
      <c r="E23" s="46"/>
      <c r="F23" s="184" t="s">
        <v>182</v>
      </c>
      <c r="G23" s="185" t="s">
        <v>183</v>
      </c>
      <c r="H23" s="46"/>
      <c r="I23" s="47"/>
      <c r="J23" s="48"/>
      <c r="K23" s="57"/>
      <c r="L23" s="58"/>
      <c r="M23" s="58"/>
      <c r="N23" s="58"/>
      <c r="O23" s="58"/>
      <c r="P23" s="58"/>
      <c r="Q23" s="58"/>
      <c r="R23" s="58"/>
      <c r="S23" s="58"/>
      <c r="T23" s="58"/>
      <c r="U23" s="58"/>
      <c r="V23" s="59"/>
      <c r="W23" s="5"/>
      <c r="X23" s="5"/>
      <c r="Y23" s="5"/>
      <c r="Z23" s="5"/>
      <c r="AA23" s="5"/>
      <c r="AB23" s="5"/>
      <c r="AC23" s="5"/>
    </row>
    <row r="24" spans="1:29" s="6" customFormat="1" ht="12.75">
      <c r="A24" s="53"/>
      <c r="B24" s="54" t="s">
        <v>179</v>
      </c>
      <c r="C24" s="60">
        <v>0</v>
      </c>
      <c r="D24" s="56"/>
      <c r="E24" s="46"/>
      <c r="F24" s="186" t="s">
        <v>184</v>
      </c>
      <c r="G24" s="187" t="s">
        <v>185</v>
      </c>
      <c r="H24" s="46"/>
      <c r="I24" s="47"/>
      <c r="J24" s="48"/>
      <c r="K24" s="48"/>
      <c r="L24" s="5"/>
      <c r="M24" s="5"/>
      <c r="N24" s="5"/>
      <c r="O24" s="5"/>
      <c r="P24" s="5"/>
      <c r="Q24" s="5"/>
      <c r="R24" s="5"/>
      <c r="S24" s="5"/>
      <c r="T24" s="5"/>
      <c r="U24" s="5"/>
      <c r="V24" s="5"/>
      <c r="W24" s="5"/>
      <c r="X24" s="5"/>
      <c r="Y24" s="5"/>
      <c r="Z24" s="5"/>
      <c r="AA24" s="5"/>
      <c r="AB24" s="5"/>
      <c r="AC24" s="5"/>
    </row>
    <row r="25" spans="1:29" s="6" customFormat="1" ht="14.25">
      <c r="A25" s="53"/>
      <c r="B25" s="54" t="s">
        <v>180</v>
      </c>
      <c r="C25" s="61">
        <f>C23*(1-C24)</f>
        <v>5000</v>
      </c>
      <c r="D25" s="56" t="s">
        <v>200</v>
      </c>
      <c r="E25" s="2"/>
      <c r="F25" s="186" t="s">
        <v>186</v>
      </c>
      <c r="G25" s="187" t="s">
        <v>83</v>
      </c>
      <c r="H25" s="46"/>
      <c r="I25" s="26"/>
      <c r="J25" s="5"/>
      <c r="K25" s="5"/>
      <c r="L25" s="5"/>
      <c r="M25" s="5"/>
      <c r="N25" s="5"/>
      <c r="O25" s="5"/>
      <c r="P25" s="5"/>
      <c r="Q25" s="5"/>
      <c r="R25" s="5"/>
      <c r="S25" s="5"/>
      <c r="T25" s="5"/>
      <c r="U25" s="5"/>
      <c r="V25" s="5"/>
      <c r="W25" s="5"/>
      <c r="X25" s="5"/>
      <c r="Y25" s="5"/>
      <c r="Z25" s="5"/>
      <c r="AA25" s="5"/>
      <c r="AB25" s="5"/>
      <c r="AC25" s="5"/>
    </row>
    <row r="26" spans="1:29" s="6" customFormat="1" ht="14.25">
      <c r="A26" s="53"/>
      <c r="B26" s="54" t="str">
        <f>IF(C22&lt;&gt;"Palma","Rendimiento de paja (que se retira del campo)","")</f>
        <v>Rendimiento de paja (que se retira del campo)</v>
      </c>
      <c r="C26" s="44"/>
      <c r="D26" s="56" t="str">
        <f>IF(C22&lt;&gt;"Palma","kg ms/ha/año","")</f>
        <v>kg ms/ha/año</v>
      </c>
      <c r="E26" s="2"/>
      <c r="F26" s="188" t="s">
        <v>187</v>
      </c>
      <c r="G26" s="189" t="s">
        <v>188</v>
      </c>
      <c r="H26" s="46"/>
      <c r="I26" s="26"/>
      <c r="J26" s="5"/>
      <c r="K26" s="5"/>
      <c r="L26" s="5"/>
      <c r="M26" s="5"/>
      <c r="N26" s="5"/>
      <c r="O26" s="5"/>
      <c r="P26" s="5"/>
      <c r="Q26" s="5"/>
      <c r="R26" s="5"/>
      <c r="S26" s="5"/>
      <c r="T26" s="5"/>
      <c r="U26" s="5"/>
      <c r="V26" s="5"/>
      <c r="W26" s="5"/>
      <c r="X26" s="5"/>
      <c r="Y26" s="5"/>
      <c r="Z26" s="5"/>
      <c r="AA26" s="5"/>
      <c r="AB26" s="5"/>
      <c r="AC26" s="5"/>
    </row>
    <row r="27" spans="1:29" s="6" customFormat="1" ht="12.75">
      <c r="A27" s="53"/>
      <c r="B27" s="54"/>
      <c r="C27" s="50"/>
      <c r="D27" s="56"/>
      <c r="E27" s="2"/>
      <c r="F27" s="2"/>
      <c r="G27" s="41"/>
      <c r="H27" s="46"/>
      <c r="I27" s="26"/>
      <c r="J27" s="5"/>
      <c r="K27" s="5"/>
      <c r="L27" s="5"/>
      <c r="M27" s="5"/>
      <c r="N27" s="5"/>
      <c r="O27" s="5"/>
      <c r="P27" s="5"/>
      <c r="Q27" s="5"/>
      <c r="R27" s="5"/>
      <c r="S27" s="5"/>
      <c r="T27" s="5"/>
      <c r="U27" s="5"/>
      <c r="V27" s="5"/>
      <c r="W27" s="5"/>
      <c r="X27" s="5"/>
      <c r="Y27" s="5"/>
      <c r="Z27" s="5"/>
      <c r="AA27" s="5"/>
      <c r="AB27" s="5"/>
      <c r="AC27" s="5"/>
    </row>
    <row r="28" spans="1:29" s="6" customFormat="1" ht="40.5" customHeight="1">
      <c r="A28" s="62"/>
      <c r="B28" s="54" t="s">
        <v>230</v>
      </c>
      <c r="C28" s="44" t="s">
        <v>84</v>
      </c>
      <c r="D28" s="2"/>
      <c r="E28" s="280" t="s">
        <v>217</v>
      </c>
      <c r="F28" s="280"/>
      <c r="G28" s="280"/>
      <c r="H28" s="280"/>
      <c r="I28" s="294"/>
      <c r="J28" s="5"/>
      <c r="K28" s="226" t="s">
        <v>190</v>
      </c>
      <c r="L28" s="226" t="s">
        <v>191</v>
      </c>
      <c r="M28" s="226" t="s">
        <v>84</v>
      </c>
      <c r="N28" s="5"/>
      <c r="O28" s="5"/>
      <c r="P28" s="5"/>
      <c r="Q28" s="5"/>
      <c r="R28" s="5"/>
      <c r="S28" s="5"/>
      <c r="T28" s="5"/>
      <c r="U28" s="5"/>
      <c r="V28" s="5"/>
      <c r="W28" s="5"/>
      <c r="X28" s="5"/>
      <c r="Y28" s="5"/>
      <c r="Z28" s="5"/>
      <c r="AA28" s="5"/>
      <c r="AB28" s="5"/>
      <c r="AC28" s="5"/>
    </row>
    <row r="29" spans="1:29" s="6" customFormat="1" ht="18.75" customHeight="1">
      <c r="A29" s="63"/>
      <c r="B29" s="50"/>
      <c r="C29" s="2"/>
      <c r="D29" s="2"/>
      <c r="E29" s="64" t="s">
        <v>218</v>
      </c>
      <c r="F29" s="2"/>
      <c r="G29" s="2"/>
      <c r="H29" s="2"/>
      <c r="I29" s="26"/>
      <c r="J29" s="5"/>
      <c r="K29" s="5"/>
      <c r="L29" s="5"/>
      <c r="M29" s="5"/>
      <c r="N29" s="5"/>
      <c r="O29" s="5"/>
      <c r="P29" s="5"/>
      <c r="Q29" s="5"/>
      <c r="R29" s="5"/>
      <c r="S29" s="5"/>
      <c r="T29" s="5"/>
      <c r="U29" s="5"/>
      <c r="V29" s="5"/>
      <c r="W29" s="5"/>
      <c r="X29" s="5"/>
      <c r="Y29" s="5"/>
      <c r="Z29" s="5"/>
      <c r="AA29" s="5"/>
      <c r="AB29" s="5"/>
      <c r="AC29" s="5"/>
    </row>
    <row r="30" spans="1:29" s="6" customFormat="1" ht="18.75" customHeight="1">
      <c r="A30" s="65" t="s">
        <v>219</v>
      </c>
      <c r="B30" s="66"/>
      <c r="C30" s="3"/>
      <c r="D30" s="3"/>
      <c r="E30" s="67"/>
      <c r="F30" s="3"/>
      <c r="G30" s="3"/>
      <c r="H30" s="3"/>
      <c r="I30" s="4"/>
      <c r="J30" s="5"/>
      <c r="K30" s="5"/>
      <c r="L30" s="5"/>
      <c r="M30" s="5"/>
      <c r="N30" s="5"/>
      <c r="O30" s="5"/>
      <c r="P30" s="5"/>
      <c r="Q30" s="5"/>
      <c r="R30" s="5"/>
      <c r="S30" s="5"/>
      <c r="T30" s="5"/>
      <c r="U30" s="5"/>
      <c r="V30" s="5"/>
      <c r="W30" s="5"/>
      <c r="X30" s="5"/>
      <c r="Y30" s="5"/>
      <c r="Z30" s="5"/>
      <c r="AA30" s="5"/>
      <c r="AB30" s="5"/>
      <c r="AC30" s="5"/>
    </row>
    <row r="31" spans="1:29" s="6" customFormat="1" ht="18.75" customHeight="1">
      <c r="A31" s="63"/>
      <c r="B31" s="54" t="s">
        <v>220</v>
      </c>
      <c r="C31" s="68" t="s">
        <v>192</v>
      </c>
      <c r="D31" s="2"/>
      <c r="E31" s="64"/>
      <c r="F31" s="2" t="s">
        <v>201</v>
      </c>
      <c r="G31" s="2"/>
      <c r="H31" s="2"/>
      <c r="I31" s="26"/>
      <c r="J31" s="227" t="s">
        <v>192</v>
      </c>
      <c r="K31" s="226" t="s">
        <v>193</v>
      </c>
      <c r="L31" s="226" t="s">
        <v>194</v>
      </c>
      <c r="M31" s="226" t="s">
        <v>195</v>
      </c>
      <c r="N31" s="226" t="s">
        <v>196</v>
      </c>
      <c r="O31" s="226" t="s">
        <v>197</v>
      </c>
      <c r="P31" s="5"/>
      <c r="Q31" s="5"/>
      <c r="R31" s="5"/>
      <c r="S31" s="5"/>
      <c r="T31" s="5"/>
      <c r="U31" s="5"/>
      <c r="V31" s="5"/>
      <c r="W31" s="5"/>
      <c r="X31" s="5"/>
      <c r="Y31" s="5"/>
      <c r="Z31" s="5"/>
      <c r="AA31" s="5"/>
      <c r="AB31" s="5"/>
      <c r="AC31" s="5"/>
    </row>
    <row r="32" spans="1:29" s="6" customFormat="1" ht="14.25">
      <c r="A32" s="53"/>
      <c r="B32" s="54" t="s">
        <v>198</v>
      </c>
      <c r="C32" s="44"/>
      <c r="D32" s="56" t="s">
        <v>199</v>
      </c>
      <c r="E32" s="2"/>
      <c r="F32" s="172" t="s">
        <v>0</v>
      </c>
      <c r="G32" s="2"/>
      <c r="H32" s="2"/>
      <c r="I32" s="26"/>
      <c r="J32" s="5"/>
      <c r="K32" s="5"/>
      <c r="L32" s="5"/>
      <c r="M32" s="5"/>
      <c r="N32" s="5"/>
      <c r="O32" s="5"/>
      <c r="P32" s="5"/>
      <c r="Q32" s="5"/>
      <c r="R32" s="5"/>
      <c r="S32" s="5"/>
      <c r="T32" s="5"/>
      <c r="U32" s="5"/>
      <c r="V32" s="5"/>
      <c r="W32" s="5"/>
      <c r="X32" s="5"/>
      <c r="Y32" s="5"/>
      <c r="Z32" s="5"/>
      <c r="AA32" s="5"/>
      <c r="AB32" s="5"/>
      <c r="AC32" s="5"/>
    </row>
    <row r="33" spans="1:29" s="6" customFormat="1" ht="23.25" customHeight="1">
      <c r="A33" s="63"/>
      <c r="B33" s="54" t="s">
        <v>221</v>
      </c>
      <c r="C33" s="2"/>
      <c r="D33" s="2"/>
      <c r="E33" s="2"/>
      <c r="F33" s="69"/>
      <c r="G33" s="2"/>
      <c r="H33" s="2"/>
      <c r="I33" s="26"/>
      <c r="J33" s="5"/>
      <c r="K33" s="5"/>
      <c r="L33" s="5"/>
      <c r="M33" s="5"/>
      <c r="N33" s="5"/>
      <c r="O33" s="5"/>
      <c r="P33" s="5"/>
      <c r="Q33" s="5"/>
      <c r="R33" s="5"/>
      <c r="S33" s="5"/>
      <c r="T33" s="5"/>
      <c r="U33" s="5"/>
      <c r="V33" s="5"/>
      <c r="W33" s="5"/>
      <c r="X33" s="5"/>
      <c r="Y33" s="5"/>
      <c r="Z33" s="5"/>
      <c r="AA33" s="5"/>
      <c r="AB33" s="5"/>
      <c r="AC33" s="5"/>
    </row>
    <row r="34" spans="1:29" s="6" customFormat="1" ht="18.75" customHeight="1">
      <c r="A34" s="63"/>
      <c r="B34" s="50"/>
      <c r="C34" s="2"/>
      <c r="D34" s="2"/>
      <c r="E34" s="64" t="s">
        <v>216</v>
      </c>
      <c r="F34" s="69"/>
      <c r="G34" s="2"/>
      <c r="H34" s="2"/>
      <c r="I34" s="26"/>
      <c r="J34" s="5"/>
      <c r="K34" s="5"/>
      <c r="L34" s="5"/>
      <c r="M34" s="5"/>
      <c r="N34" s="5"/>
      <c r="O34" s="5"/>
      <c r="P34" s="5"/>
      <c r="Q34" s="5"/>
      <c r="R34" s="5"/>
      <c r="S34" s="5"/>
      <c r="T34" s="5"/>
      <c r="U34" s="5"/>
      <c r="V34" s="5"/>
      <c r="W34" s="5"/>
      <c r="X34" s="5"/>
      <c r="Y34" s="5"/>
      <c r="Z34" s="5"/>
      <c r="AA34" s="5"/>
      <c r="AB34" s="5"/>
      <c r="AC34" s="5"/>
    </row>
    <row r="35" spans="1:29" s="6" customFormat="1" ht="18.75" customHeight="1">
      <c r="A35" s="70"/>
      <c r="B35" s="71"/>
      <c r="C35" s="10"/>
      <c r="D35" s="10"/>
      <c r="E35" s="64" t="s">
        <v>202</v>
      </c>
      <c r="F35" s="72"/>
      <c r="G35" s="10"/>
      <c r="H35" s="10"/>
      <c r="I35" s="11"/>
      <c r="J35" s="5"/>
      <c r="K35" s="5"/>
      <c r="L35" s="5"/>
      <c r="M35" s="5"/>
      <c r="N35" s="5"/>
      <c r="O35" s="5"/>
      <c r="P35" s="5"/>
      <c r="Q35" s="5"/>
      <c r="R35" s="5"/>
      <c r="S35" s="5"/>
      <c r="T35" s="5"/>
      <c r="U35" s="5"/>
      <c r="V35" s="5"/>
      <c r="W35" s="5"/>
      <c r="X35" s="5"/>
      <c r="Y35" s="5"/>
      <c r="Z35" s="5"/>
      <c r="AA35" s="5"/>
      <c r="AB35" s="5"/>
      <c r="AC35" s="5"/>
    </row>
    <row r="36" spans="1:29" s="6" customFormat="1" ht="23.25" customHeight="1">
      <c r="A36" s="65" t="s">
        <v>222</v>
      </c>
      <c r="B36" s="73"/>
      <c r="C36" s="74" t="s">
        <v>1</v>
      </c>
      <c r="D36" s="75"/>
      <c r="E36" s="3"/>
      <c r="F36" s="3"/>
      <c r="G36" s="3"/>
      <c r="H36" s="66"/>
      <c r="I36" s="4"/>
      <c r="J36" s="5"/>
      <c r="K36" s="5"/>
      <c r="L36" s="5"/>
      <c r="M36" s="5"/>
      <c r="N36" s="5"/>
      <c r="O36" s="5"/>
      <c r="P36" s="5"/>
      <c r="Q36" s="5"/>
      <c r="R36" s="5"/>
      <c r="S36" s="5"/>
      <c r="T36" s="5"/>
      <c r="U36" s="5"/>
      <c r="V36" s="5"/>
      <c r="W36" s="5"/>
      <c r="X36" s="5"/>
      <c r="Y36" s="5"/>
      <c r="Z36" s="5"/>
      <c r="AA36" s="5"/>
      <c r="AB36" s="5"/>
      <c r="AC36" s="5"/>
    </row>
    <row r="37" spans="1:29" s="6" customFormat="1" ht="13.5" customHeight="1">
      <c r="A37" s="76"/>
      <c r="B37" s="54"/>
      <c r="C37" s="40" t="s">
        <v>205</v>
      </c>
      <c r="D37" s="56"/>
      <c r="E37" s="2"/>
      <c r="F37" s="2"/>
      <c r="G37" s="2"/>
      <c r="H37" s="173" t="s">
        <v>2</v>
      </c>
      <c r="I37" s="26"/>
      <c r="J37" s="5"/>
      <c r="K37" s="5"/>
      <c r="L37" s="5"/>
      <c r="M37" s="5"/>
      <c r="N37" s="5"/>
      <c r="O37" s="5"/>
      <c r="P37" s="5"/>
      <c r="Q37" s="5"/>
      <c r="R37" s="5"/>
      <c r="S37" s="5"/>
      <c r="T37" s="5"/>
      <c r="U37" s="5"/>
      <c r="V37" s="5"/>
      <c r="W37" s="5"/>
      <c r="X37" s="5"/>
      <c r="Y37" s="5"/>
      <c r="Z37" s="5"/>
      <c r="AA37" s="5"/>
      <c r="AB37" s="5"/>
      <c r="AC37" s="5"/>
    </row>
    <row r="38" spans="1:29" s="6" customFormat="1" ht="13.5" customHeight="1">
      <c r="A38" s="77">
        <f>IF(C22="Palma","En el caso de palma :","")</f>
      </c>
      <c r="B38" s="54"/>
      <c r="C38" s="40" t="s">
        <v>204</v>
      </c>
      <c r="D38" s="56"/>
      <c r="E38" s="2"/>
      <c r="F38" s="2"/>
      <c r="G38" s="2"/>
      <c r="H38" s="50"/>
      <c r="I38" s="26"/>
      <c r="J38" s="5"/>
      <c r="K38" s="5"/>
      <c r="L38" s="5"/>
      <c r="M38" s="5"/>
      <c r="N38" s="5"/>
      <c r="O38" s="5"/>
      <c r="P38" s="5"/>
      <c r="Q38" s="5"/>
      <c r="R38" s="5"/>
      <c r="S38" s="5"/>
      <c r="T38" s="5"/>
      <c r="U38" s="5"/>
      <c r="V38" s="5"/>
      <c r="W38" s="5"/>
      <c r="X38" s="5"/>
      <c r="Y38" s="5"/>
      <c r="Z38" s="5"/>
      <c r="AA38" s="5"/>
      <c r="AB38" s="5"/>
      <c r="AC38" s="5"/>
    </row>
    <row r="39" spans="1:29" s="6" customFormat="1" ht="15.75" customHeight="1">
      <c r="A39" s="78"/>
      <c r="B39" s="54">
        <f>IF(C22="Palma","Cantidad de residuo que se devuelve al campo:","")</f>
      </c>
      <c r="C39" s="79"/>
      <c r="D39" s="56">
        <f>IF(C22="Palm","kg dm/kg wet FFB","")</f>
      </c>
      <c r="E39" s="2"/>
      <c r="F39" s="2"/>
      <c r="G39" s="2"/>
      <c r="H39" s="50">
        <f>IF(C22="palma","valor por defecto 0.22 de (6)","")</f>
      </c>
      <c r="I39" s="26"/>
      <c r="J39" s="5"/>
      <c r="K39" s="5"/>
      <c r="L39" s="5"/>
      <c r="M39" s="5"/>
      <c r="N39" s="5"/>
      <c r="O39" s="5"/>
      <c r="P39" s="5"/>
      <c r="Q39" s="5"/>
      <c r="R39" s="5"/>
      <c r="S39" s="5"/>
      <c r="T39" s="5"/>
      <c r="U39" s="5"/>
      <c r="V39" s="5"/>
      <c r="W39" s="5"/>
      <c r="X39" s="5"/>
      <c r="Y39" s="5"/>
      <c r="Z39" s="5"/>
      <c r="AA39" s="5"/>
      <c r="AB39" s="5"/>
      <c r="AC39" s="5"/>
    </row>
    <row r="40" spans="1:29" s="6" customFormat="1" ht="15.75" customHeight="1">
      <c r="A40" s="78"/>
      <c r="B40" s="54">
        <f>IF(C$22="palma","Contenido de N del residuo:","")</f>
      </c>
      <c r="C40" s="80"/>
      <c r="D40" s="56">
        <f>IF(C$22="palm","kg N/kg residue dm","")</f>
      </c>
      <c r="E40" s="2"/>
      <c r="F40" s="81"/>
      <c r="G40" s="2"/>
      <c r="H40" s="50">
        <f>IF(C$22="palma","valor por defecto 0.011 de (6)","")</f>
      </c>
      <c r="I40" s="26"/>
      <c r="J40" s="5"/>
      <c r="K40" s="5"/>
      <c r="L40" s="5"/>
      <c r="M40" s="5"/>
      <c r="N40" s="5"/>
      <c r="O40" s="5"/>
      <c r="P40" s="5"/>
      <c r="Q40" s="5"/>
      <c r="R40" s="5"/>
      <c r="S40" s="5"/>
      <c r="T40" s="5"/>
      <c r="U40" s="5"/>
      <c r="V40" s="5"/>
      <c r="W40" s="5"/>
      <c r="X40" s="5"/>
      <c r="Y40" s="5"/>
      <c r="Z40" s="5"/>
      <c r="AA40" s="5"/>
      <c r="AB40" s="5"/>
      <c r="AC40" s="5"/>
    </row>
    <row r="41" spans="1:29" s="6" customFormat="1" ht="15.75" customHeight="1">
      <c r="A41" s="77">
        <f>IF(C22="caña de azúcar","En el caso de la caña de azúcar :","")</f>
      </c>
      <c r="B41" s="54"/>
      <c r="C41" s="50"/>
      <c r="D41" s="56"/>
      <c r="E41" s="2"/>
      <c r="F41" s="2"/>
      <c r="G41" s="2"/>
      <c r="H41" s="2"/>
      <c r="I41" s="26"/>
      <c r="J41" s="5"/>
      <c r="K41" s="5"/>
      <c r="L41" s="5"/>
      <c r="M41" s="5"/>
      <c r="N41" s="5"/>
      <c r="O41" s="5"/>
      <c r="P41" s="5"/>
      <c r="Q41" s="5"/>
      <c r="R41" s="5"/>
      <c r="S41" s="5"/>
      <c r="T41" s="5"/>
      <c r="U41" s="5"/>
      <c r="V41" s="5"/>
      <c r="W41" s="5"/>
      <c r="X41" s="5"/>
      <c r="Y41" s="5"/>
      <c r="Z41" s="5"/>
      <c r="AA41" s="5"/>
      <c r="AB41" s="5"/>
      <c r="AC41" s="5"/>
    </row>
    <row r="42" spans="1:29" s="6" customFormat="1" ht="12.75">
      <c r="A42" s="78"/>
      <c r="B42" s="54">
        <f>IF(C22="Caña de azúcar","Cantidad de vinaza aplicada al suelo:","")</f>
      </c>
      <c r="C42" s="79"/>
      <c r="D42" s="56">
        <f>IF(C22="caña de azúcar","kg of vinaza ms/kg caña de azúcar mf","")</f>
      </c>
      <c r="E42" s="2"/>
      <c r="F42" s="2"/>
      <c r="G42" s="40"/>
      <c r="H42" s="50">
        <f>IF(C$22="caña de azúcar","valor por defecto 0.94 de (7) ","")</f>
      </c>
      <c r="I42" s="26"/>
      <c r="J42" s="5"/>
      <c r="K42" s="5"/>
      <c r="L42" s="5"/>
      <c r="M42" s="5"/>
      <c r="N42" s="5"/>
      <c r="O42" s="5"/>
      <c r="P42" s="5"/>
      <c r="Q42" s="5"/>
      <c r="R42" s="5"/>
      <c r="S42" s="5"/>
      <c r="T42" s="5"/>
      <c r="U42" s="5"/>
      <c r="V42" s="5"/>
      <c r="W42" s="5"/>
      <c r="X42" s="5"/>
      <c r="Y42" s="5"/>
      <c r="Z42" s="5"/>
      <c r="AA42" s="5"/>
      <c r="AB42" s="5"/>
      <c r="AC42" s="5"/>
    </row>
    <row r="43" spans="1:29" s="6" customFormat="1" ht="12.75">
      <c r="A43" s="53"/>
      <c r="B43" s="54">
        <f>IF(C22="caña de azúcar","Cantidad de torta de filtrado aplicada al suelo:","")</f>
      </c>
      <c r="C43" s="82"/>
      <c r="D43" s="56">
        <f>IF(C22="caña de azúcar","kg de torta de filtrado ms/kg caña de azúcar mf","")</f>
      </c>
      <c r="E43" s="2"/>
      <c r="F43" s="2"/>
      <c r="G43" s="2"/>
      <c r="H43" s="50">
        <f>IF(C$22="caña de azúcar","valor por defecto 0.01 de (7) ","")</f>
      </c>
      <c r="I43" s="26"/>
      <c r="J43" s="5"/>
      <c r="K43" s="5"/>
      <c r="L43" s="5"/>
      <c r="M43" s="5"/>
      <c r="N43" s="5"/>
      <c r="O43" s="5"/>
      <c r="P43" s="5"/>
      <c r="Q43" s="5"/>
      <c r="R43" s="5"/>
      <c r="S43" s="5"/>
      <c r="T43" s="5"/>
      <c r="U43" s="5"/>
      <c r="V43" s="5"/>
      <c r="W43" s="5"/>
      <c r="X43" s="5"/>
      <c r="Y43" s="5"/>
      <c r="Z43" s="5"/>
      <c r="AA43" s="5"/>
      <c r="AB43" s="5"/>
      <c r="AC43" s="5"/>
    </row>
    <row r="44" spans="1:29" s="6" customFormat="1" ht="12.75">
      <c r="A44" s="53"/>
      <c r="B44" s="54">
        <f>IF(C22="caña de azúcar","Contenido de N de la vinaza:","")</f>
      </c>
      <c r="C44" s="82"/>
      <c r="D44" s="56">
        <f>IF(C22="caña de azúcar","kg N / t vinaza","")</f>
      </c>
      <c r="E44" s="2"/>
      <c r="F44" s="2"/>
      <c r="G44" s="2"/>
      <c r="H44" s="50">
        <f>IF(C$22="caña de azúcar","valor por defecto 0.36 de (7) ","")</f>
      </c>
      <c r="I44" s="26"/>
      <c r="J44" s="5"/>
      <c r="K44" s="5"/>
      <c r="L44" s="5"/>
      <c r="M44" s="5"/>
      <c r="N44" s="5"/>
      <c r="O44" s="5"/>
      <c r="P44" s="5"/>
      <c r="Q44" s="5"/>
      <c r="R44" s="5"/>
      <c r="S44" s="5"/>
      <c r="T44" s="5"/>
      <c r="U44" s="5"/>
      <c r="V44" s="5"/>
      <c r="W44" s="5"/>
      <c r="X44" s="5"/>
      <c r="Y44" s="5"/>
      <c r="Z44" s="5"/>
      <c r="AA44" s="5"/>
      <c r="AB44" s="5"/>
      <c r="AC44" s="5"/>
    </row>
    <row r="45" spans="1:29" s="6" customFormat="1" ht="12.75">
      <c r="A45" s="53"/>
      <c r="B45" s="54">
        <f>IF(C$22="caña de azúcar","Contenido de N de la torta de filtrado:","")</f>
      </c>
      <c r="C45" s="82"/>
      <c r="D45" s="56">
        <f>IF(C$22="caña de azúcar","kg N / t torta de filtrado","")</f>
      </c>
      <c r="E45" s="2"/>
      <c r="F45" s="2"/>
      <c r="G45" s="2"/>
      <c r="H45" s="50">
        <f>IF(C$22="caña de azúcar","valor por defecto 12.5 de (7) ","")</f>
      </c>
      <c r="I45" s="26"/>
      <c r="J45" s="5"/>
      <c r="K45" s="5"/>
      <c r="L45" s="5"/>
      <c r="M45" s="5"/>
      <c r="N45" s="5"/>
      <c r="O45" s="5"/>
      <c r="P45" s="5"/>
      <c r="Q45" s="5"/>
      <c r="R45" s="5"/>
      <c r="S45" s="5"/>
      <c r="T45" s="5"/>
      <c r="U45" s="5"/>
      <c r="V45" s="5"/>
      <c r="W45" s="5"/>
      <c r="X45" s="5"/>
      <c r="Y45" s="5"/>
      <c r="Z45" s="5"/>
      <c r="AA45" s="5"/>
      <c r="AB45" s="5"/>
      <c r="AC45" s="5"/>
    </row>
    <row r="46" spans="1:29" s="6" customFormat="1" ht="12.75">
      <c r="A46" s="53"/>
      <c r="B46" s="54">
        <f>IF(C$22="caña de azúcar","Cantidad de RAC(c):","")</f>
      </c>
      <c r="C46" s="82"/>
      <c r="D46" s="56">
        <f>IF(C$22="caña de azúcar","kg RAC/t caña de azúcar mf","")</f>
      </c>
      <c r="E46" s="2"/>
      <c r="F46" s="2"/>
      <c r="G46" s="2"/>
      <c r="H46" s="50">
        <f>IF(C$22="caña de azúcar","valor por defecto100 de (8) ","")</f>
      </c>
      <c r="I46" s="26"/>
      <c r="J46" s="5"/>
      <c r="K46" s="5"/>
      <c r="L46" s="5"/>
      <c r="M46" s="5"/>
      <c r="N46" s="5"/>
      <c r="O46" s="5"/>
      <c r="P46" s="5"/>
      <c r="Q46" s="5"/>
      <c r="R46" s="5"/>
      <c r="S46" s="5"/>
      <c r="T46" s="5"/>
      <c r="U46" s="5"/>
      <c r="V46" s="5"/>
      <c r="W46" s="5"/>
      <c r="X46" s="5"/>
      <c r="Y46" s="5"/>
      <c r="Z46" s="5"/>
      <c r="AA46" s="5"/>
      <c r="AB46" s="5"/>
      <c r="AC46" s="5"/>
    </row>
    <row r="47" spans="1:29" s="6" customFormat="1" ht="12.75">
      <c r="A47" s="53"/>
      <c r="B47" s="54">
        <f>IF(C$22="caña de azúcar","% de RAC quemado:","")</f>
      </c>
      <c r="C47" s="83"/>
      <c r="D47" s="56">
        <f>IF(C$22="caña de azúcar","%","")</f>
      </c>
      <c r="E47" s="2"/>
      <c r="F47" s="2"/>
      <c r="G47" s="2"/>
      <c r="H47" s="50">
        <f>IF(C$22="caña de azúcar","valor por defecto 100% de (8) ","")</f>
      </c>
      <c r="I47" s="26"/>
      <c r="J47" s="5"/>
      <c r="K47" s="5"/>
      <c r="L47" s="5"/>
      <c r="M47" s="5"/>
      <c r="N47" s="5"/>
      <c r="O47" s="5"/>
      <c r="P47" s="5"/>
      <c r="Q47" s="5"/>
      <c r="R47" s="5"/>
      <c r="S47" s="5"/>
      <c r="T47" s="5"/>
      <c r="U47" s="5"/>
      <c r="V47" s="5"/>
      <c r="W47" s="5"/>
      <c r="X47" s="5"/>
      <c r="Y47" s="5"/>
      <c r="Z47" s="5"/>
      <c r="AA47" s="5"/>
      <c r="AB47" s="5"/>
      <c r="AC47" s="5"/>
    </row>
    <row r="48" spans="1:29" s="6" customFormat="1" ht="12.75">
      <c r="A48" s="53"/>
      <c r="B48" s="54">
        <f>IF(C$22="caña de azúcar","Eficiencia del quemado:","")</f>
      </c>
      <c r="C48" s="83"/>
      <c r="D48" s="56">
        <f>IF(C$22="caña de azúcar","%","")</f>
      </c>
      <c r="E48" s="2"/>
      <c r="F48" s="2"/>
      <c r="G48" s="2"/>
      <c r="H48" s="50">
        <f>IF(C$22="caña de azúcar","valor por defecto 100% de (8) ","")</f>
      </c>
      <c r="I48" s="26"/>
      <c r="J48" s="5"/>
      <c r="K48" s="5"/>
      <c r="L48" s="5"/>
      <c r="M48" s="5"/>
      <c r="N48" s="5"/>
      <c r="O48" s="5"/>
      <c r="P48" s="5"/>
      <c r="Q48" s="5"/>
      <c r="R48" s="5"/>
      <c r="S48" s="5"/>
      <c r="T48" s="5"/>
      <c r="U48" s="5"/>
      <c r="V48" s="5"/>
      <c r="W48" s="5"/>
      <c r="X48" s="5"/>
      <c r="Y48" s="5"/>
      <c r="Z48" s="5"/>
      <c r="AA48" s="5"/>
      <c r="AB48" s="5"/>
      <c r="AC48" s="5"/>
    </row>
    <row r="49" spans="1:29" s="6" customFormat="1" ht="12.75">
      <c r="A49" s="53"/>
      <c r="B49" s="54">
        <f>IF(C$22="caña de azúcar","Contenido de C del RAC:","")</f>
      </c>
      <c r="C49" s="82"/>
      <c r="D49" s="56">
        <f>IF(C$22="caña de azúcar","kg C / kg RAC","")</f>
      </c>
      <c r="E49" s="2"/>
      <c r="F49" s="2"/>
      <c r="G49" s="2"/>
      <c r="H49" s="50">
        <f>IF(C$22="caña de azúcar","valor por defecto 0.5 de (8) ","")</f>
      </c>
      <c r="I49" s="26"/>
      <c r="J49" s="5"/>
      <c r="K49" s="5"/>
      <c r="L49" s="5"/>
      <c r="M49" s="5"/>
      <c r="N49" s="5"/>
      <c r="O49" s="5"/>
      <c r="P49" s="5"/>
      <c r="Q49" s="5"/>
      <c r="R49" s="5"/>
      <c r="S49" s="5"/>
      <c r="T49" s="5"/>
      <c r="U49" s="5"/>
      <c r="V49" s="5"/>
      <c r="W49" s="5"/>
      <c r="X49" s="5"/>
      <c r="Y49" s="5"/>
      <c r="Z49" s="5"/>
      <c r="AA49" s="5"/>
      <c r="AB49" s="5"/>
      <c r="AC49" s="5"/>
    </row>
    <row r="50" spans="1:29" s="6" customFormat="1" ht="12.75">
      <c r="A50" s="53"/>
      <c r="B50" s="54">
        <f>IF(C$22="caña de azúcar","Ratio N/C ratio del RAC:","")</f>
      </c>
      <c r="C50" s="80"/>
      <c r="D50" s="56"/>
      <c r="E50" s="2"/>
      <c r="F50" s="2"/>
      <c r="G50" s="2"/>
      <c r="H50" s="50">
        <f>IF(C$22="caña de azúcar","valor por defecto 0.015 de (8) ","")</f>
      </c>
      <c r="I50" s="26"/>
      <c r="J50" s="5"/>
      <c r="K50" s="5"/>
      <c r="L50" s="5"/>
      <c r="M50" s="5"/>
      <c r="N50" s="5"/>
      <c r="O50" s="5"/>
      <c r="P50" s="5"/>
      <c r="Q50" s="5"/>
      <c r="R50" s="5"/>
      <c r="S50" s="5"/>
      <c r="T50" s="5"/>
      <c r="U50" s="5"/>
      <c r="V50" s="5"/>
      <c r="W50" s="5"/>
      <c r="X50" s="5"/>
      <c r="Y50" s="5"/>
      <c r="Z50" s="5"/>
      <c r="AA50" s="5"/>
      <c r="AB50" s="5"/>
      <c r="AC50" s="5"/>
    </row>
    <row r="51" spans="1:29" s="6" customFormat="1" ht="12.75">
      <c r="A51" s="53"/>
      <c r="B51" s="54">
        <f>IF(C$22="caña de azúcar","Coeficiente de emisión de N2O:","")</f>
      </c>
      <c r="C51" s="80"/>
      <c r="D51" s="56">
        <f>IF(C$22="caña de azúcar","kg N2O_N / kg N en el RAC","")</f>
      </c>
      <c r="E51" s="2"/>
      <c r="F51" s="2"/>
      <c r="G51" s="2"/>
      <c r="H51" s="50">
        <f>IF(C$22="caña de azúcar","valor por defecto 0.007 de (8) ","")</f>
      </c>
      <c r="I51" s="26"/>
      <c r="J51" s="5"/>
      <c r="K51" s="5"/>
      <c r="L51" s="5"/>
      <c r="M51" s="5"/>
      <c r="N51" s="5"/>
      <c r="O51" s="5"/>
      <c r="P51" s="5"/>
      <c r="Q51" s="5"/>
      <c r="R51" s="5"/>
      <c r="S51" s="5"/>
      <c r="T51" s="5"/>
      <c r="U51" s="5"/>
      <c r="V51" s="5"/>
      <c r="W51" s="5"/>
      <c r="X51" s="5"/>
      <c r="Y51" s="5"/>
      <c r="Z51" s="5"/>
      <c r="AA51" s="5"/>
      <c r="AB51" s="5"/>
      <c r="AC51" s="5"/>
    </row>
    <row r="52" spans="1:29" s="6" customFormat="1" ht="12.75">
      <c r="A52" s="84"/>
      <c r="B52" s="85"/>
      <c r="C52" s="71"/>
      <c r="D52" s="86"/>
      <c r="E52" s="10" t="s">
        <v>215</v>
      </c>
      <c r="F52" s="10"/>
      <c r="G52" s="10"/>
      <c r="H52" s="10"/>
      <c r="I52" s="11"/>
      <c r="J52" s="5"/>
      <c r="K52" s="5"/>
      <c r="L52" s="5"/>
      <c r="M52" s="5"/>
      <c r="N52" s="5"/>
      <c r="O52" s="5"/>
      <c r="P52" s="5"/>
      <c r="Q52" s="5"/>
      <c r="R52" s="5"/>
      <c r="S52" s="5"/>
      <c r="T52" s="5"/>
      <c r="U52" s="5"/>
      <c r="V52" s="5"/>
      <c r="W52" s="5"/>
      <c r="X52" s="5"/>
      <c r="Y52" s="5"/>
      <c r="Z52" s="5"/>
      <c r="AA52" s="5"/>
      <c r="AB52" s="5"/>
      <c r="AC52" s="5"/>
    </row>
    <row r="53" spans="1:29" s="6" customFormat="1" ht="15">
      <c r="A53" s="87"/>
      <c r="B53" s="87"/>
      <c r="C53" s="19"/>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29" s="6" customFormat="1" ht="18.75">
      <c r="A54" s="174" t="s">
        <v>4</v>
      </c>
      <c r="B54" s="175"/>
      <c r="C54" s="176" t="s">
        <v>13</v>
      </c>
      <c r="D54" s="176"/>
      <c r="E54" s="176"/>
      <c r="F54" s="176"/>
      <c r="G54" s="176"/>
      <c r="H54" s="176"/>
      <c r="I54" s="177"/>
      <c r="J54" s="5"/>
      <c r="K54" s="5"/>
      <c r="L54" s="5"/>
      <c r="M54" s="5"/>
      <c r="N54" s="5"/>
      <c r="O54" s="5"/>
      <c r="P54" s="5"/>
      <c r="Q54" s="5"/>
      <c r="R54" s="5"/>
      <c r="S54" s="5"/>
      <c r="T54" s="5"/>
      <c r="U54" s="5"/>
      <c r="V54" s="5"/>
      <c r="W54" s="5"/>
      <c r="X54" s="5"/>
      <c r="Y54" s="5"/>
      <c r="Z54" s="5"/>
      <c r="AA54" s="5"/>
      <c r="AB54" s="5"/>
      <c r="AC54" s="5"/>
    </row>
    <row r="55" spans="1:33" s="6" customFormat="1" ht="20.25" customHeight="1">
      <c r="A55" s="88" t="s">
        <v>5</v>
      </c>
      <c r="B55" s="3"/>
      <c r="C55" s="3"/>
      <c r="D55" s="3"/>
      <c r="E55" s="3"/>
      <c r="F55" s="3"/>
      <c r="G55" s="3"/>
      <c r="H55" s="3"/>
      <c r="I55" s="4"/>
      <c r="J55" s="5"/>
      <c r="K55" s="233" t="s">
        <v>36</v>
      </c>
      <c r="L55" s="234" t="s">
        <v>37</v>
      </c>
      <c r="M55" s="234"/>
      <c r="N55" s="223" t="s">
        <v>117</v>
      </c>
      <c r="O55" s="5"/>
      <c r="P55" s="233" t="s">
        <v>40</v>
      </c>
      <c r="Q55" s="234" t="s">
        <v>43</v>
      </c>
      <c r="R55" s="234"/>
      <c r="S55" s="235" t="s">
        <v>118</v>
      </c>
      <c r="T55" s="5"/>
      <c r="U55" s="236" t="s">
        <v>42</v>
      </c>
      <c r="V55" s="233" t="s">
        <v>119</v>
      </c>
      <c r="W55" s="234" t="s">
        <v>85</v>
      </c>
      <c r="X55" s="234" t="s">
        <v>86</v>
      </c>
      <c r="Y55" s="234" t="s">
        <v>120</v>
      </c>
      <c r="Z55" s="234" t="s">
        <v>121</v>
      </c>
      <c r="AA55" s="234" t="s">
        <v>122</v>
      </c>
      <c r="AB55" s="234" t="s">
        <v>123</v>
      </c>
      <c r="AC55" s="234" t="s">
        <v>124</v>
      </c>
      <c r="AD55" s="234" t="s">
        <v>125</v>
      </c>
      <c r="AE55" s="234" t="s">
        <v>126</v>
      </c>
      <c r="AF55" s="234" t="s">
        <v>87</v>
      </c>
      <c r="AG55" s="237" t="s">
        <v>45</v>
      </c>
    </row>
    <row r="56" spans="1:33" s="6" customFormat="1" ht="14.25">
      <c r="A56" s="39" t="s">
        <v>6</v>
      </c>
      <c r="B56" s="89"/>
      <c r="C56" s="2"/>
      <c r="D56" s="2"/>
      <c r="E56" s="2"/>
      <c r="F56" s="2"/>
      <c r="G56" s="2"/>
      <c r="H56" s="2"/>
      <c r="I56" s="26"/>
      <c r="J56" s="5"/>
      <c r="K56" s="88" t="s">
        <v>127</v>
      </c>
      <c r="L56" s="90">
        <f>VLOOKUP(C22,U56:AE67,5,FALSE)*1000</f>
        <v>5490</v>
      </c>
      <c r="M56" s="3" t="s">
        <v>38</v>
      </c>
      <c r="N56" s="4"/>
      <c r="O56" s="5"/>
      <c r="P56" s="88"/>
      <c r="Q56" s="91" t="s">
        <v>14</v>
      </c>
      <c r="R56" s="66" t="s">
        <v>88</v>
      </c>
      <c r="S56" s="92" t="s">
        <v>89</v>
      </c>
      <c r="T56" s="5"/>
      <c r="U56" s="88" t="s">
        <v>169</v>
      </c>
      <c r="V56" s="93">
        <v>0.019</v>
      </c>
      <c r="W56" s="94">
        <v>0.1</v>
      </c>
      <c r="X56" s="94">
        <v>1.06</v>
      </c>
      <c r="Y56" s="94">
        <f>W56*$C$25/1000+X56</f>
        <v>1.56</v>
      </c>
      <c r="Z56" s="94">
        <f>(Y56*1000+$C$25)/$C$25</f>
        <v>1.312</v>
      </c>
      <c r="AA56" s="94">
        <f>Y56*1000/$C$25</f>
        <v>0.312</v>
      </c>
      <c r="AB56" s="94">
        <v>0.2</v>
      </c>
      <c r="AC56" s="95">
        <v>0.014</v>
      </c>
      <c r="AD56" s="94">
        <f>AB56*Z56</f>
        <v>0.2624</v>
      </c>
      <c r="AE56" s="94">
        <f>AD56*$C$25/1000</f>
        <v>1.312</v>
      </c>
      <c r="AF56" s="94">
        <v>16.3</v>
      </c>
      <c r="AG56" s="96" t="s">
        <v>44</v>
      </c>
    </row>
    <row r="57" spans="1:33" s="6" customFormat="1" ht="14.25">
      <c r="A57" s="24"/>
      <c r="B57" s="2"/>
      <c r="C57" s="2"/>
      <c r="D57" s="2"/>
      <c r="E57" s="2"/>
      <c r="F57" s="2"/>
      <c r="G57" s="2"/>
      <c r="H57" s="2"/>
      <c r="I57" s="97"/>
      <c r="K57" s="24" t="s">
        <v>128</v>
      </c>
      <c r="L57" s="79">
        <v>1</v>
      </c>
      <c r="M57" s="2"/>
      <c r="N57" s="26"/>
      <c r="O57" s="5"/>
      <c r="P57" s="49" t="s">
        <v>90</v>
      </c>
      <c r="Q57" s="98">
        <v>15</v>
      </c>
      <c r="R57" s="50">
        <v>10</v>
      </c>
      <c r="S57" s="99">
        <v>30</v>
      </c>
      <c r="T57" s="5"/>
      <c r="U57" s="88" t="s">
        <v>170</v>
      </c>
      <c r="V57" s="93">
        <v>0.006</v>
      </c>
      <c r="W57" s="94">
        <v>1.51</v>
      </c>
      <c r="X57" s="94">
        <v>0.52</v>
      </c>
      <c r="Y57" s="94">
        <f>W57*$C$25/1000+X57</f>
        <v>8.07</v>
      </c>
      <c r="Z57" s="94">
        <f>(Y57*1000+$C$25)/$C$25</f>
        <v>2.614</v>
      </c>
      <c r="AA57" s="94">
        <f>Y57*1000/$C$25</f>
        <v>1.614</v>
      </c>
      <c r="AB57" s="94">
        <v>0.24</v>
      </c>
      <c r="AC57" s="95">
        <v>0.009</v>
      </c>
      <c r="AD57" s="94">
        <f>AB57*Z57</f>
        <v>0.6273599999999999</v>
      </c>
      <c r="AE57" s="94">
        <f>AD57*$C$25/1000</f>
        <v>3.1367999999999996</v>
      </c>
      <c r="AF57" s="94">
        <v>17</v>
      </c>
      <c r="AG57" s="96" t="s">
        <v>44</v>
      </c>
    </row>
    <row r="58" spans="1:33" s="6" customFormat="1" ht="21" customHeight="1">
      <c r="A58" s="24"/>
      <c r="B58" s="50" t="s">
        <v>129</v>
      </c>
      <c r="C58" s="79">
        <v>150</v>
      </c>
      <c r="D58" s="2" t="s">
        <v>7</v>
      </c>
      <c r="E58" s="2" t="s">
        <v>8</v>
      </c>
      <c r="F58" s="2"/>
      <c r="G58" s="2"/>
      <c r="H58" s="2"/>
      <c r="I58" s="97"/>
      <c r="K58" s="24" t="s">
        <v>122</v>
      </c>
      <c r="L58" s="100">
        <f>VLOOKUP(C22,U56:AE67,7,FALSE)</f>
        <v>1.098</v>
      </c>
      <c r="M58" s="2"/>
      <c r="N58" s="26"/>
      <c r="O58" s="5"/>
      <c r="P58" s="49" t="s">
        <v>91</v>
      </c>
      <c r="Q58" s="98">
        <v>10</v>
      </c>
      <c r="R58" s="50">
        <v>8</v>
      </c>
      <c r="S58" s="99">
        <v>15</v>
      </c>
      <c r="T58" s="5"/>
      <c r="U58" s="88" t="s">
        <v>210</v>
      </c>
      <c r="V58" s="93">
        <v>0.006</v>
      </c>
      <c r="W58" s="94">
        <v>1.03</v>
      </c>
      <c r="X58" s="94">
        <v>0.61</v>
      </c>
      <c r="Y58" s="94">
        <f>W58*$C$25/1000+X58</f>
        <v>5.760000000000001</v>
      </c>
      <c r="Z58" s="94">
        <f>(Y58*1000+$C$25)/$C$25</f>
        <v>2.152</v>
      </c>
      <c r="AA58" s="94">
        <f>Y58*1000/$C$25</f>
        <v>1.1520000000000001</v>
      </c>
      <c r="AB58" s="94">
        <v>0.22</v>
      </c>
      <c r="AC58" s="95">
        <v>0.007</v>
      </c>
      <c r="AD58" s="94">
        <f>AB58*Z58</f>
        <v>0.47344</v>
      </c>
      <c r="AE58" s="94">
        <f>AD58*$C$25/1000</f>
        <v>2.3672000000000004</v>
      </c>
      <c r="AF58" s="94">
        <v>18.5</v>
      </c>
      <c r="AG58" s="96" t="s">
        <v>44</v>
      </c>
    </row>
    <row r="59" spans="1:33" s="6" customFormat="1" ht="14.25">
      <c r="A59" s="24"/>
      <c r="B59" s="50" t="s">
        <v>130</v>
      </c>
      <c r="C59" s="79">
        <v>0</v>
      </c>
      <c r="D59" s="2" t="s">
        <v>7</v>
      </c>
      <c r="E59" s="2" t="s">
        <v>9</v>
      </c>
      <c r="F59" s="2"/>
      <c r="G59" s="2"/>
      <c r="H59" s="2"/>
      <c r="I59" s="97"/>
      <c r="K59" s="24" t="s">
        <v>131</v>
      </c>
      <c r="L59" s="2">
        <f>VLOOKUP(C22,U56:V67,2,FALSE)</f>
        <v>0.007</v>
      </c>
      <c r="M59" s="2"/>
      <c r="N59" s="26"/>
      <c r="O59" s="5"/>
      <c r="P59" s="24"/>
      <c r="Q59" s="2"/>
      <c r="R59" s="2"/>
      <c r="S59" s="26"/>
      <c r="T59" s="5"/>
      <c r="U59" s="88" t="s">
        <v>171</v>
      </c>
      <c r="V59" s="93" t="s">
        <v>92</v>
      </c>
      <c r="W59" s="94" t="s">
        <v>92</v>
      </c>
      <c r="X59" s="94" t="s">
        <v>92</v>
      </c>
      <c r="Y59" s="94" t="s">
        <v>92</v>
      </c>
      <c r="Z59" s="94" t="s">
        <v>92</v>
      </c>
      <c r="AA59" s="94" t="s">
        <v>92</v>
      </c>
      <c r="AB59" s="94" t="s">
        <v>92</v>
      </c>
      <c r="AC59" s="95" t="s">
        <v>92</v>
      </c>
      <c r="AD59" s="94" t="s">
        <v>92</v>
      </c>
      <c r="AE59" s="94" t="s">
        <v>92</v>
      </c>
      <c r="AF59" s="94">
        <v>19.6</v>
      </c>
      <c r="AG59" s="96" t="s">
        <v>44</v>
      </c>
    </row>
    <row r="60" spans="1:34" s="6" customFormat="1" ht="14.25">
      <c r="A60" s="24"/>
      <c r="B60" s="50" t="s">
        <v>132</v>
      </c>
      <c r="C60" s="98">
        <f>IF(C22="caña de azúcar",(C42*C44+C43*C45)*C23/1000,IF(C22="palma",((C39*C40)*C23),L64))</f>
        <v>70.73920000000001</v>
      </c>
      <c r="D60" s="2" t="s">
        <v>7</v>
      </c>
      <c r="E60" s="2" t="s">
        <v>10</v>
      </c>
      <c r="F60" s="2"/>
      <c r="G60" s="2"/>
      <c r="H60" s="2"/>
      <c r="I60" s="97"/>
      <c r="K60" s="24" t="s">
        <v>133</v>
      </c>
      <c r="L60" s="81">
        <f>C26/L58/C25</f>
        <v>0</v>
      </c>
      <c r="M60" s="2"/>
      <c r="N60" s="26"/>
      <c r="O60" s="5"/>
      <c r="P60" s="101" t="s">
        <v>134</v>
      </c>
      <c r="Q60" s="102">
        <f>IF(C31="arable to arable land",C32/Q58*1000,C32/Q57*1000)</f>
        <v>0</v>
      </c>
      <c r="R60" s="71" t="s">
        <v>93</v>
      </c>
      <c r="S60" s="103" t="s">
        <v>94</v>
      </c>
      <c r="T60" s="5"/>
      <c r="U60" s="88" t="s">
        <v>172</v>
      </c>
      <c r="V60" s="93">
        <v>0.011</v>
      </c>
      <c r="W60" s="94">
        <v>1.5</v>
      </c>
      <c r="X60" s="94">
        <v>0</v>
      </c>
      <c r="Y60" s="94">
        <f>W60*$C$25/1000+X60</f>
        <v>7.5</v>
      </c>
      <c r="Z60" s="94">
        <f>(Y60*1000+$C$25)/$C$25</f>
        <v>2.5</v>
      </c>
      <c r="AA60" s="94">
        <f>Y60*1000/$C$25</f>
        <v>1.5</v>
      </c>
      <c r="AB60" s="94">
        <v>0.19</v>
      </c>
      <c r="AC60" s="95">
        <v>0.017</v>
      </c>
      <c r="AD60" s="94">
        <f>AB60*Z60</f>
        <v>0.475</v>
      </c>
      <c r="AE60" s="94">
        <f>AD60*$C$25/1000</f>
        <v>2.375</v>
      </c>
      <c r="AF60" s="94">
        <v>26.4</v>
      </c>
      <c r="AG60" s="96" t="s">
        <v>44</v>
      </c>
      <c r="AH60" s="104" t="s">
        <v>46</v>
      </c>
    </row>
    <row r="61" spans="1:34" s="6" customFormat="1" ht="14.25">
      <c r="A61" s="24"/>
      <c r="B61" s="50" t="s">
        <v>134</v>
      </c>
      <c r="C61" s="105">
        <f>Q60</f>
        <v>0</v>
      </c>
      <c r="D61" s="2" t="s">
        <v>7</v>
      </c>
      <c r="E61" s="2" t="s">
        <v>11</v>
      </c>
      <c r="F61" s="2"/>
      <c r="G61" s="2"/>
      <c r="H61" s="2"/>
      <c r="I61" s="97"/>
      <c r="K61" s="24" t="s">
        <v>125</v>
      </c>
      <c r="L61" s="106">
        <f>VLOOKUP(C22,U56:AE67,10,FALSE)</f>
        <v>0.46155999999999997</v>
      </c>
      <c r="M61" s="2"/>
      <c r="N61" s="26"/>
      <c r="O61" s="5"/>
      <c r="P61" s="107" t="s">
        <v>41</v>
      </c>
      <c r="Q61" s="108"/>
      <c r="R61" s="108"/>
      <c r="S61" s="109"/>
      <c r="T61" s="5"/>
      <c r="U61" s="88" t="s">
        <v>173</v>
      </c>
      <c r="V61" s="93">
        <v>0.007</v>
      </c>
      <c r="W61" s="94">
        <v>2.1</v>
      </c>
      <c r="X61" s="94">
        <v>0</v>
      </c>
      <c r="Y61" s="94">
        <f>W61*$C$25/1000+X61</f>
        <v>10.5</v>
      </c>
      <c r="Z61" s="94">
        <f>(Y61*1000+$C$25)/$C$25</f>
        <v>3.1</v>
      </c>
      <c r="AA61" s="94">
        <f>Y61*1000/$C$25</f>
        <v>2.1</v>
      </c>
      <c r="AB61" s="94">
        <v>0.22</v>
      </c>
      <c r="AC61" s="95">
        <v>0.007</v>
      </c>
      <c r="AD61" s="94">
        <f>AB61*Z61</f>
        <v>0.682</v>
      </c>
      <c r="AE61" s="94">
        <f>AD61*$C$25/1000</f>
        <v>3.4100000000000006</v>
      </c>
      <c r="AF61" s="94">
        <v>26.4</v>
      </c>
      <c r="AG61" s="96" t="s">
        <v>44</v>
      </c>
      <c r="AH61" s="18" t="s">
        <v>47</v>
      </c>
    </row>
    <row r="62" spans="1:33" s="6" customFormat="1" ht="14.25">
      <c r="A62" s="110"/>
      <c r="B62" s="111"/>
      <c r="C62" s="111"/>
      <c r="D62" s="111"/>
      <c r="E62" s="111"/>
      <c r="F62" s="111"/>
      <c r="G62" s="111"/>
      <c r="H62" s="111"/>
      <c r="I62" s="97"/>
      <c r="K62" s="24" t="s">
        <v>135</v>
      </c>
      <c r="L62" s="100">
        <f>VLOOKUP(C22,U56:AE67,9,FALSE)</f>
        <v>0.014</v>
      </c>
      <c r="M62" s="2"/>
      <c r="N62" s="26"/>
      <c r="O62" s="5"/>
      <c r="P62" s="5"/>
      <c r="Q62" s="5"/>
      <c r="R62" s="19"/>
      <c r="S62" s="5"/>
      <c r="T62" s="5"/>
      <c r="U62" s="88" t="s">
        <v>174</v>
      </c>
      <c r="V62" s="93">
        <v>0.008</v>
      </c>
      <c r="W62" s="94">
        <v>0.93</v>
      </c>
      <c r="X62" s="94">
        <v>1.35</v>
      </c>
      <c r="Y62" s="94">
        <f>W62*$C$25/1000+X62</f>
        <v>6</v>
      </c>
      <c r="Z62" s="94">
        <f>(Y62*1000+$C$25)/$C$25</f>
        <v>2.2</v>
      </c>
      <c r="AA62" s="94">
        <f>Y62*1000/$C$25</f>
        <v>1.2</v>
      </c>
      <c r="AB62" s="94">
        <v>0.19</v>
      </c>
      <c r="AC62" s="95">
        <v>0.008</v>
      </c>
      <c r="AD62" s="94">
        <f>AB62*Z62</f>
        <v>0.41800000000000004</v>
      </c>
      <c r="AE62" s="94">
        <f>AD62*$C$25/1000</f>
        <v>2.09</v>
      </c>
      <c r="AF62" s="94">
        <v>23.529411764705884</v>
      </c>
      <c r="AG62" s="96" t="s">
        <v>44</v>
      </c>
    </row>
    <row r="63" spans="1:33" s="6" customFormat="1" ht="14.25">
      <c r="A63" s="24"/>
      <c r="B63" s="111"/>
      <c r="C63" s="112" t="s">
        <v>14</v>
      </c>
      <c r="D63" s="66" t="s">
        <v>88</v>
      </c>
      <c r="E63" s="92" t="s">
        <v>89</v>
      </c>
      <c r="F63" s="50"/>
      <c r="G63" s="50"/>
      <c r="H63" s="50"/>
      <c r="I63" s="97"/>
      <c r="K63" s="24" t="s">
        <v>123</v>
      </c>
      <c r="L63" s="100">
        <f>VLOOKUP(C22,U56:AE67,8,FALSE)</f>
        <v>0.22</v>
      </c>
      <c r="M63" s="2"/>
      <c r="N63" s="26"/>
      <c r="O63" s="5"/>
      <c r="P63" s="5"/>
      <c r="Q63" s="5"/>
      <c r="R63" s="19"/>
      <c r="S63" s="5"/>
      <c r="T63" s="5"/>
      <c r="U63" s="113" t="s">
        <v>175</v>
      </c>
      <c r="V63" s="93" t="s">
        <v>92</v>
      </c>
      <c r="W63" s="94" t="s">
        <v>92</v>
      </c>
      <c r="X63" s="94" t="s">
        <v>92</v>
      </c>
      <c r="Y63" s="94" t="s">
        <v>92</v>
      </c>
      <c r="Z63" s="94" t="s">
        <v>92</v>
      </c>
      <c r="AA63" s="94" t="s">
        <v>92</v>
      </c>
      <c r="AB63" s="94" t="s">
        <v>92</v>
      </c>
      <c r="AC63" s="95" t="s">
        <v>92</v>
      </c>
      <c r="AD63" s="94" t="s">
        <v>92</v>
      </c>
      <c r="AE63" s="94" t="s">
        <v>92</v>
      </c>
      <c r="AF63" s="114">
        <v>24</v>
      </c>
      <c r="AG63" s="96" t="s">
        <v>44</v>
      </c>
    </row>
    <row r="64" spans="1:33" s="6" customFormat="1" ht="14.25">
      <c r="A64" s="49" t="s">
        <v>17</v>
      </c>
      <c r="B64" s="115" t="s">
        <v>136</v>
      </c>
      <c r="C64" s="116">
        <v>0.01</v>
      </c>
      <c r="D64" s="117">
        <v>0.003</v>
      </c>
      <c r="E64" s="118">
        <v>0.03</v>
      </c>
      <c r="F64" s="50"/>
      <c r="G64" s="50"/>
      <c r="H64" s="50"/>
      <c r="I64" s="97"/>
      <c r="K64" s="119" t="s">
        <v>117</v>
      </c>
      <c r="L64" s="81">
        <f>C25*L57*(L58*L59*(1-L60)+L61*L62)</f>
        <v>70.73920000000001</v>
      </c>
      <c r="M64" s="2" t="s">
        <v>7</v>
      </c>
      <c r="N64" s="120" t="s">
        <v>95</v>
      </c>
      <c r="O64" s="5"/>
      <c r="P64" s="5"/>
      <c r="Q64" s="5"/>
      <c r="R64" s="19"/>
      <c r="S64" s="5"/>
      <c r="T64" s="5"/>
      <c r="U64" s="88" t="s">
        <v>227</v>
      </c>
      <c r="V64" s="93">
        <v>0.007</v>
      </c>
      <c r="W64" s="94">
        <v>0.98</v>
      </c>
      <c r="X64" s="94">
        <v>0.59</v>
      </c>
      <c r="Y64" s="94">
        <f>W64*$C$25/1000+X64</f>
        <v>5.49</v>
      </c>
      <c r="Z64" s="94">
        <f>(Y64*1000+$C$25)/$C$25</f>
        <v>2.098</v>
      </c>
      <c r="AA64" s="94">
        <f>Y64*1000/$C$25</f>
        <v>1.098</v>
      </c>
      <c r="AB64" s="94">
        <v>0.22</v>
      </c>
      <c r="AC64" s="95">
        <v>0.014</v>
      </c>
      <c r="AD64" s="94">
        <f>AB64*Z64</f>
        <v>0.46155999999999997</v>
      </c>
      <c r="AE64" s="94">
        <f>AD64*$C$25/1000</f>
        <v>2.3078</v>
      </c>
      <c r="AF64" s="94">
        <v>17</v>
      </c>
      <c r="AG64" s="96" t="s">
        <v>44</v>
      </c>
    </row>
    <row r="65" spans="1:34" s="6" customFormat="1" ht="12.75">
      <c r="A65" s="110"/>
      <c r="B65" s="111"/>
      <c r="C65" s="111"/>
      <c r="D65" s="111"/>
      <c r="E65" s="111"/>
      <c r="F65" s="111"/>
      <c r="G65" s="111"/>
      <c r="H65" s="111"/>
      <c r="I65" s="97"/>
      <c r="K65" s="121"/>
      <c r="L65" s="122">
        <f>L56*L57*(L59*(1-L60)+L63*L62)</f>
        <v>55.339200000000005</v>
      </c>
      <c r="M65" s="10" t="s">
        <v>7</v>
      </c>
      <c r="N65" s="103" t="s">
        <v>96</v>
      </c>
      <c r="O65" s="5"/>
      <c r="P65" s="5"/>
      <c r="Q65" s="5"/>
      <c r="R65" s="5"/>
      <c r="S65" s="5"/>
      <c r="T65" s="5"/>
      <c r="U65" s="88" t="s">
        <v>228</v>
      </c>
      <c r="V65" s="93">
        <v>0.007</v>
      </c>
      <c r="W65" s="94">
        <v>0.88</v>
      </c>
      <c r="X65" s="94">
        <v>1.33</v>
      </c>
      <c r="Y65" s="94">
        <f>W65*$C$25/1000+X65</f>
        <v>5.73</v>
      </c>
      <c r="Z65" s="94">
        <f>(Y65*1000+$C$25)/$C$25</f>
        <v>2.146</v>
      </c>
      <c r="AA65" s="94">
        <f>Y65*1000/$C$25</f>
        <v>1.146</v>
      </c>
      <c r="AB65" s="94">
        <v>0</v>
      </c>
      <c r="AC65" s="95">
        <v>0.006</v>
      </c>
      <c r="AD65" s="94">
        <f>AB65*Z65</f>
        <v>0</v>
      </c>
      <c r="AE65" s="94">
        <f>AD65*$C$25/1000</f>
        <v>0</v>
      </c>
      <c r="AF65" s="94">
        <v>17.3</v>
      </c>
      <c r="AG65" s="96" t="s">
        <v>44</v>
      </c>
      <c r="AH65" s="238"/>
    </row>
    <row r="66" spans="1:33" s="6" customFormat="1" ht="14.25">
      <c r="A66" s="110"/>
      <c r="B66" s="111"/>
      <c r="C66" s="282" t="s">
        <v>15</v>
      </c>
      <c r="D66" s="283"/>
      <c r="E66" s="284"/>
      <c r="F66" s="282" t="s">
        <v>16</v>
      </c>
      <c r="G66" s="283"/>
      <c r="H66" s="284"/>
      <c r="I66" s="97"/>
      <c r="K66" s="107" t="s">
        <v>39</v>
      </c>
      <c r="L66" s="108"/>
      <c r="M66" s="108"/>
      <c r="N66" s="109"/>
      <c r="U66" s="228" t="s">
        <v>176</v>
      </c>
      <c r="V66" s="230"/>
      <c r="W66" s="231"/>
      <c r="X66" s="231"/>
      <c r="Y66" s="231"/>
      <c r="Z66" s="231"/>
      <c r="AA66" s="231"/>
      <c r="AB66" s="231"/>
      <c r="AC66" s="232"/>
      <c r="AD66" s="231"/>
      <c r="AE66" s="231"/>
      <c r="AF66" s="231"/>
      <c r="AG66" s="229"/>
    </row>
    <row r="67" spans="1:34" s="6" customFormat="1" ht="12.75">
      <c r="A67" s="110"/>
      <c r="B67" s="111"/>
      <c r="C67" s="126" t="s">
        <v>14</v>
      </c>
      <c r="D67" s="66" t="s">
        <v>88</v>
      </c>
      <c r="E67" s="92" t="s">
        <v>89</v>
      </c>
      <c r="F67" s="126" t="s">
        <v>14</v>
      </c>
      <c r="G67" s="66" t="s">
        <v>88</v>
      </c>
      <c r="H67" s="92" t="s">
        <v>89</v>
      </c>
      <c r="I67" s="97"/>
      <c r="K67" s="127"/>
      <c r="L67" s="128"/>
      <c r="M67" s="128"/>
      <c r="N67" s="128"/>
      <c r="U67" s="228" t="s">
        <v>177</v>
      </c>
      <c r="V67" s="230"/>
      <c r="W67" s="231"/>
      <c r="X67" s="231"/>
      <c r="Y67" s="231"/>
      <c r="Z67" s="231"/>
      <c r="AA67" s="231"/>
      <c r="AB67" s="231"/>
      <c r="AC67" s="232"/>
      <c r="AD67" s="231"/>
      <c r="AE67" s="231"/>
      <c r="AF67" s="231"/>
      <c r="AG67" s="229"/>
      <c r="AH67" s="239"/>
    </row>
    <row r="68" spans="1:29" s="6" customFormat="1" ht="15" customHeight="1">
      <c r="A68" s="49" t="s">
        <v>18</v>
      </c>
      <c r="B68" s="129" t="s">
        <v>19</v>
      </c>
      <c r="C68" s="190">
        <f>SUM(C58:C61)*C64</f>
        <v>2.207392</v>
      </c>
      <c r="D68" s="191">
        <f>SUM(C58:C61)*D64</f>
        <v>0.6622176000000001</v>
      </c>
      <c r="E68" s="192">
        <f>SUM(C58:C61)*E64</f>
        <v>6.6221760000000005</v>
      </c>
      <c r="F68" s="191">
        <f>C68*44/28</f>
        <v>3.468758857142857</v>
      </c>
      <c r="G68" s="191">
        <f>D68*44/28</f>
        <v>1.0406276571428572</v>
      </c>
      <c r="H68" s="192">
        <f>E68*44/28</f>
        <v>10.406276571428572</v>
      </c>
      <c r="I68" s="120" t="s">
        <v>97</v>
      </c>
      <c r="J68" s="130"/>
      <c r="K68" s="19"/>
      <c r="L68" s="19"/>
      <c r="M68" s="5"/>
      <c r="N68" s="5"/>
      <c r="O68" s="5"/>
      <c r="P68" s="5"/>
      <c r="Q68" s="5"/>
      <c r="R68" s="5"/>
      <c r="S68" s="5"/>
      <c r="T68" s="5"/>
      <c r="U68" s="5"/>
      <c r="V68" s="5"/>
      <c r="W68" s="5"/>
      <c r="X68" s="5"/>
      <c r="Y68" s="5"/>
      <c r="Z68" s="5"/>
      <c r="AA68" s="5"/>
      <c r="AB68" s="5"/>
      <c r="AC68" s="5"/>
    </row>
    <row r="69" spans="1:33" s="6" customFormat="1" ht="12.75">
      <c r="A69" s="24"/>
      <c r="B69" s="2"/>
      <c r="C69" s="106"/>
      <c r="D69" s="2"/>
      <c r="E69" s="2"/>
      <c r="F69" s="106"/>
      <c r="G69" s="2"/>
      <c r="H69" s="2"/>
      <c r="I69" s="26"/>
      <c r="J69" s="5"/>
      <c r="K69" s="5"/>
      <c r="L69" s="5"/>
      <c r="M69" s="5"/>
      <c r="N69" s="5"/>
      <c r="O69" s="5"/>
      <c r="P69" s="5"/>
      <c r="Q69" s="5"/>
      <c r="R69" s="5"/>
      <c r="S69" s="5"/>
      <c r="T69" s="5"/>
      <c r="U69" s="236" t="s">
        <v>48</v>
      </c>
      <c r="V69" s="221" t="s">
        <v>211</v>
      </c>
      <c r="W69" s="234"/>
      <c r="X69" s="234"/>
      <c r="Y69" s="234"/>
      <c r="Z69" s="234" t="s">
        <v>212</v>
      </c>
      <c r="AA69" s="234"/>
      <c r="AB69" s="234"/>
      <c r="AC69" s="234"/>
      <c r="AD69" s="234"/>
      <c r="AE69" s="234"/>
      <c r="AF69" s="234"/>
      <c r="AG69" s="223"/>
    </row>
    <row r="70" spans="1:33" s="6" customFormat="1" ht="14.25">
      <c r="A70" s="39" t="s">
        <v>20</v>
      </c>
      <c r="B70" s="89"/>
      <c r="C70" s="2" t="s">
        <v>203</v>
      </c>
      <c r="D70" s="2"/>
      <c r="E70" s="2"/>
      <c r="F70" s="2"/>
      <c r="G70" s="2"/>
      <c r="H70" s="2"/>
      <c r="I70" s="26"/>
      <c r="J70" s="5"/>
      <c r="K70" s="5"/>
      <c r="L70" s="5"/>
      <c r="M70" s="5"/>
      <c r="N70" s="5"/>
      <c r="O70" s="5"/>
      <c r="P70" s="5"/>
      <c r="Q70" s="5"/>
      <c r="R70" s="5"/>
      <c r="S70" s="5"/>
      <c r="T70" s="5"/>
      <c r="U70" s="240" t="s">
        <v>98</v>
      </c>
      <c r="V70" s="241" t="s">
        <v>50</v>
      </c>
      <c r="W70" s="201"/>
      <c r="X70" s="201"/>
      <c r="Y70" s="242" t="s">
        <v>137</v>
      </c>
      <c r="Z70" s="295" t="s">
        <v>213</v>
      </c>
      <c r="AA70" s="295"/>
      <c r="AB70" s="295"/>
      <c r="AC70" s="243"/>
      <c r="AD70" s="201"/>
      <c r="AE70" s="201"/>
      <c r="AF70" s="201"/>
      <c r="AG70" s="200"/>
    </row>
    <row r="71" spans="1:33" s="6" customFormat="1" ht="15" customHeight="1">
      <c r="A71" s="119"/>
      <c r="B71" s="89"/>
      <c r="C71" s="282" t="s">
        <v>15</v>
      </c>
      <c r="D71" s="283"/>
      <c r="E71" s="284"/>
      <c r="F71" s="282" t="s">
        <v>16</v>
      </c>
      <c r="G71" s="283"/>
      <c r="H71" s="284"/>
      <c r="I71" s="26"/>
      <c r="J71" s="5"/>
      <c r="K71" s="5"/>
      <c r="L71" s="5"/>
      <c r="M71" s="5"/>
      <c r="N71" s="5"/>
      <c r="O71" s="5"/>
      <c r="P71" s="5"/>
      <c r="Q71" s="5"/>
      <c r="R71" s="5"/>
      <c r="S71" s="5"/>
      <c r="T71" s="5"/>
      <c r="U71" s="244" t="s">
        <v>138</v>
      </c>
      <c r="V71" s="245" t="s">
        <v>51</v>
      </c>
      <c r="W71" s="204"/>
      <c r="X71" s="204"/>
      <c r="Y71" s="246"/>
      <c r="Z71" s="247" t="s">
        <v>56</v>
      </c>
      <c r="AA71" s="204"/>
      <c r="AB71" s="204"/>
      <c r="AC71" s="248"/>
      <c r="AD71" s="204"/>
      <c r="AE71" s="204"/>
      <c r="AF71" s="204"/>
      <c r="AG71" s="205"/>
    </row>
    <row r="72" spans="1:33" s="6" customFormat="1" ht="17.25" customHeight="1">
      <c r="A72" s="24">
        <f>IF(C22="sugar cane","N2O from trash burning","")</f>
      </c>
      <c r="B72" s="2"/>
      <c r="C72" s="193">
        <f>IF(C22="Caña de azúcar",C46*C47*C48*C49*C50*C51*C23/1000,"")</f>
      </c>
      <c r="D72" s="194"/>
      <c r="E72" s="194"/>
      <c r="F72" s="191">
        <f>IF(C22="Caña de azúcar",C72*44/28,"")</f>
      </c>
      <c r="G72" s="194"/>
      <c r="H72" s="195"/>
      <c r="I72" s="99"/>
      <c r="J72" s="5"/>
      <c r="K72" s="5"/>
      <c r="L72" s="5"/>
      <c r="M72" s="5"/>
      <c r="N72" s="5"/>
      <c r="O72" s="5"/>
      <c r="P72" s="5"/>
      <c r="Q72" s="5"/>
      <c r="R72" s="5"/>
      <c r="S72" s="5"/>
      <c r="T72" s="5"/>
      <c r="U72" s="244"/>
      <c r="V72" s="245"/>
      <c r="W72" s="204"/>
      <c r="X72" s="204"/>
      <c r="Y72" s="246" t="s">
        <v>139</v>
      </c>
      <c r="Z72" s="247" t="s">
        <v>57</v>
      </c>
      <c r="AA72" s="204"/>
      <c r="AB72" s="204"/>
      <c r="AC72" s="248"/>
      <c r="AD72" s="204"/>
      <c r="AE72" s="204"/>
      <c r="AF72" s="204"/>
      <c r="AG72" s="205"/>
    </row>
    <row r="73" spans="1:33" s="6" customFormat="1" ht="30.75" customHeight="1">
      <c r="A73" s="39" t="s">
        <v>223</v>
      </c>
      <c r="B73" s="2"/>
      <c r="C73" s="2"/>
      <c r="D73" s="2"/>
      <c r="E73" s="2"/>
      <c r="F73" s="106"/>
      <c r="G73" s="2"/>
      <c r="H73" s="2"/>
      <c r="I73" s="26"/>
      <c r="J73" s="5"/>
      <c r="K73" s="5"/>
      <c r="L73" s="5"/>
      <c r="M73" s="5"/>
      <c r="N73" s="5"/>
      <c r="O73" s="5"/>
      <c r="P73" s="5"/>
      <c r="Q73" s="5"/>
      <c r="R73" s="5"/>
      <c r="S73" s="5"/>
      <c r="T73" s="5"/>
      <c r="U73" s="244" t="s">
        <v>99</v>
      </c>
      <c r="V73" s="289" t="s">
        <v>52</v>
      </c>
      <c r="W73" s="289"/>
      <c r="X73" s="289"/>
      <c r="Y73" s="246" t="s">
        <v>140</v>
      </c>
      <c r="Z73" s="247" t="s">
        <v>214</v>
      </c>
      <c r="AA73" s="204"/>
      <c r="AB73" s="204"/>
      <c r="AC73" s="248"/>
      <c r="AD73" s="204"/>
      <c r="AE73" s="204"/>
      <c r="AF73" s="204"/>
      <c r="AG73" s="205"/>
    </row>
    <row r="74" spans="1:33" s="6" customFormat="1" ht="20.25" customHeight="1">
      <c r="A74" s="39"/>
      <c r="B74" s="2"/>
      <c r="C74" s="282" t="s">
        <v>15</v>
      </c>
      <c r="D74" s="283"/>
      <c r="E74" s="284"/>
      <c r="F74" s="282" t="s">
        <v>16</v>
      </c>
      <c r="G74" s="283"/>
      <c r="H74" s="284"/>
      <c r="I74" s="26"/>
      <c r="J74" s="5"/>
      <c r="K74" s="5"/>
      <c r="L74" s="5"/>
      <c r="M74" s="5"/>
      <c r="N74" s="5"/>
      <c r="O74" s="5"/>
      <c r="P74" s="5"/>
      <c r="Q74" s="5"/>
      <c r="R74" s="5"/>
      <c r="S74" s="5"/>
      <c r="T74" s="5"/>
      <c r="U74" s="244" t="s">
        <v>86</v>
      </c>
      <c r="V74" s="289" t="s">
        <v>53</v>
      </c>
      <c r="W74" s="289"/>
      <c r="X74" s="289"/>
      <c r="Y74" s="246" t="s">
        <v>141</v>
      </c>
      <c r="Z74" s="247" t="s">
        <v>58</v>
      </c>
      <c r="AA74" s="204"/>
      <c r="AB74" s="204"/>
      <c r="AC74" s="248"/>
      <c r="AD74" s="204"/>
      <c r="AE74" s="204"/>
      <c r="AF74" s="204"/>
      <c r="AG74" s="205"/>
    </row>
    <row r="75" spans="1:33" s="6" customFormat="1" ht="14.25">
      <c r="A75" s="39"/>
      <c r="B75" s="2"/>
      <c r="C75" s="126" t="s">
        <v>14</v>
      </c>
      <c r="D75" s="66" t="s">
        <v>88</v>
      </c>
      <c r="E75" s="92" t="s">
        <v>89</v>
      </c>
      <c r="F75" s="126" t="s">
        <v>14</v>
      </c>
      <c r="G75" s="66" t="s">
        <v>88</v>
      </c>
      <c r="H75" s="92" t="s">
        <v>89</v>
      </c>
      <c r="I75" s="26"/>
      <c r="J75" s="5"/>
      <c r="K75" s="5"/>
      <c r="L75" s="5"/>
      <c r="M75" s="5"/>
      <c r="N75" s="5"/>
      <c r="O75" s="5"/>
      <c r="P75" s="5"/>
      <c r="Q75" s="5"/>
      <c r="R75" s="5"/>
      <c r="S75" s="5"/>
      <c r="T75" s="5"/>
      <c r="U75" s="244" t="s">
        <v>142</v>
      </c>
      <c r="V75" s="245" t="s">
        <v>54</v>
      </c>
      <c r="W75" s="204"/>
      <c r="X75" s="204"/>
      <c r="Y75" s="246" t="s">
        <v>100</v>
      </c>
      <c r="Z75" s="247" t="s">
        <v>59</v>
      </c>
      <c r="AA75" s="204"/>
      <c r="AB75" s="204"/>
      <c r="AC75" s="249" t="s">
        <v>39</v>
      </c>
      <c r="AD75" s="204"/>
      <c r="AE75" s="204"/>
      <c r="AF75" s="204"/>
      <c r="AG75" s="205"/>
    </row>
    <row r="76" spans="1:33" s="6" customFormat="1" ht="21.75" customHeight="1">
      <c r="A76" s="131" t="s">
        <v>21</v>
      </c>
      <c r="B76" s="2"/>
      <c r="C76" s="196">
        <f>IF($C$22="Caña de azúcar",SUM(C68,C72),C68)</f>
        <v>2.207392</v>
      </c>
      <c r="D76" s="196">
        <f>IF($C$22="Caña de azúcar",SUM(D68,D72),D68)</f>
        <v>0.6622176000000001</v>
      </c>
      <c r="E76" s="196">
        <f>IF($C$22="Caña de azúcar",SUM(E68,E72),E68)</f>
        <v>6.6221760000000005</v>
      </c>
      <c r="F76" s="196">
        <f>IF($C$22="caña de azúcar",SUM(F68,F72),F68)</f>
        <v>3.468758857142857</v>
      </c>
      <c r="G76" s="196">
        <f>IF($C$22="caña de azúcar",SUM(G68,G72),G68)</f>
        <v>1.0406276571428572</v>
      </c>
      <c r="H76" s="197">
        <f>IF($C$22="caña de azúcar",SUM(H68,H72),H68)</f>
        <v>10.406276571428572</v>
      </c>
      <c r="I76" s="26"/>
      <c r="J76" s="5"/>
      <c r="K76" s="5"/>
      <c r="L76" s="5"/>
      <c r="M76" s="5"/>
      <c r="N76" s="5"/>
      <c r="O76" s="5"/>
      <c r="P76" s="5"/>
      <c r="Q76" s="5"/>
      <c r="R76" s="5"/>
      <c r="S76" s="5"/>
      <c r="T76" s="5"/>
      <c r="U76" s="250" t="s">
        <v>143</v>
      </c>
      <c r="V76" s="251" t="s">
        <v>55</v>
      </c>
      <c r="W76" s="210"/>
      <c r="X76" s="210"/>
      <c r="Y76" s="210"/>
      <c r="Z76" s="252"/>
      <c r="AA76" s="210"/>
      <c r="AB76" s="210"/>
      <c r="AC76" s="207"/>
      <c r="AD76" s="210"/>
      <c r="AE76" s="210"/>
      <c r="AF76" s="210"/>
      <c r="AG76" s="211"/>
    </row>
    <row r="77" spans="1:29" s="6" customFormat="1" ht="12.75">
      <c r="A77" s="9"/>
      <c r="B77" s="10"/>
      <c r="C77" s="10"/>
      <c r="D77" s="10"/>
      <c r="E77" s="10"/>
      <c r="F77" s="10"/>
      <c r="G77" s="10"/>
      <c r="H77" s="10"/>
      <c r="I77" s="11"/>
      <c r="J77" s="5"/>
      <c r="K77" s="5"/>
      <c r="L77" s="5"/>
      <c r="M77" s="5"/>
      <c r="N77" s="5"/>
      <c r="O77" s="5"/>
      <c r="P77" s="5"/>
      <c r="Q77" s="5"/>
      <c r="R77" s="5"/>
      <c r="S77" s="5"/>
      <c r="T77" s="5"/>
      <c r="U77" s="5"/>
      <c r="V77" s="5"/>
      <c r="W77" s="5"/>
      <c r="X77" s="5"/>
      <c r="Y77" s="5"/>
      <c r="Z77" s="5"/>
      <c r="AA77" s="5"/>
      <c r="AB77" s="5"/>
      <c r="AC77" s="5"/>
    </row>
    <row r="78" spans="1:29" s="6" customFormat="1" ht="21" customHeight="1">
      <c r="A78" s="5"/>
      <c r="B78" s="5"/>
      <c r="C78" s="132"/>
      <c r="D78" s="5"/>
      <c r="E78" s="5"/>
      <c r="F78" s="132"/>
      <c r="G78" s="5"/>
      <c r="H78" s="5"/>
      <c r="I78" s="5"/>
      <c r="J78" s="5"/>
      <c r="W78" s="5"/>
      <c r="X78" s="5"/>
      <c r="Y78" s="5"/>
      <c r="Z78" s="5"/>
      <c r="AA78" s="5"/>
      <c r="AB78" s="5"/>
      <c r="AC78" s="5"/>
    </row>
    <row r="79" spans="1:31" s="6" customFormat="1" ht="18.75">
      <c r="A79" s="174" t="s">
        <v>22</v>
      </c>
      <c r="B79" s="175"/>
      <c r="C79" s="176" t="s">
        <v>23</v>
      </c>
      <c r="D79" s="176"/>
      <c r="E79" s="176"/>
      <c r="F79" s="176"/>
      <c r="G79" s="176"/>
      <c r="H79" s="176"/>
      <c r="I79" s="177"/>
      <c r="J79" s="5"/>
      <c r="K79" s="233" t="s">
        <v>101</v>
      </c>
      <c r="L79" s="253" t="s">
        <v>68</v>
      </c>
      <c r="M79" s="268"/>
      <c r="N79" s="268" t="s">
        <v>144</v>
      </c>
      <c r="O79" s="223" t="s">
        <v>102</v>
      </c>
      <c r="P79" s="5"/>
      <c r="Q79" s="233" t="s">
        <v>70</v>
      </c>
      <c r="R79" s="268" t="s">
        <v>71</v>
      </c>
      <c r="S79" s="268" t="s">
        <v>145</v>
      </c>
      <c r="T79" s="222"/>
      <c r="U79" s="223" t="s">
        <v>103</v>
      </c>
      <c r="V79" s="5"/>
      <c r="W79" s="221" t="s">
        <v>66</v>
      </c>
      <c r="X79" s="253" t="s">
        <v>67</v>
      </c>
      <c r="Y79" s="253"/>
      <c r="Z79" s="234"/>
      <c r="AA79" s="234" t="s">
        <v>49</v>
      </c>
      <c r="AB79" s="219"/>
      <c r="AC79" s="219"/>
      <c r="AD79" s="219"/>
      <c r="AE79" s="223"/>
    </row>
    <row r="80" spans="1:31" s="6" customFormat="1" ht="14.25">
      <c r="A80" s="133"/>
      <c r="B80" s="134"/>
      <c r="C80" s="134"/>
      <c r="D80" s="134"/>
      <c r="E80" s="134"/>
      <c r="F80" s="134"/>
      <c r="G80" s="134"/>
      <c r="H80" s="134"/>
      <c r="I80" s="135"/>
      <c r="J80" s="5"/>
      <c r="K80" s="136"/>
      <c r="L80" s="137" t="s">
        <v>14</v>
      </c>
      <c r="M80" s="138" t="s">
        <v>104</v>
      </c>
      <c r="N80" s="138" t="s">
        <v>89</v>
      </c>
      <c r="O80" s="139"/>
      <c r="P80" s="5"/>
      <c r="Q80" s="136"/>
      <c r="R80" s="137" t="s">
        <v>14</v>
      </c>
      <c r="S80" s="138" t="s">
        <v>104</v>
      </c>
      <c r="T80" s="138" t="s">
        <v>89</v>
      </c>
      <c r="U80" s="139"/>
      <c r="V80" s="5"/>
      <c r="W80" s="182" t="s">
        <v>129</v>
      </c>
      <c r="X80" s="254" t="s">
        <v>60</v>
      </c>
      <c r="Y80" s="255"/>
      <c r="Z80" s="255"/>
      <c r="AA80" s="255"/>
      <c r="AB80" s="255"/>
      <c r="AC80" s="255"/>
      <c r="AD80" s="255"/>
      <c r="AE80" s="256"/>
    </row>
    <row r="81" spans="1:31" s="6" customFormat="1" ht="14.25">
      <c r="A81" s="110"/>
      <c r="B81" s="111"/>
      <c r="C81" s="71"/>
      <c r="D81" s="71"/>
      <c r="E81" s="71"/>
      <c r="F81" s="50"/>
      <c r="G81" s="50"/>
      <c r="H81" s="50"/>
      <c r="I81" s="97"/>
      <c r="K81" s="140" t="s">
        <v>129</v>
      </c>
      <c r="L81" s="105">
        <f>C58</f>
        <v>150</v>
      </c>
      <c r="M81" s="50"/>
      <c r="N81" s="54" t="s">
        <v>73</v>
      </c>
      <c r="O81" s="99" t="s">
        <v>7</v>
      </c>
      <c r="P81" s="5"/>
      <c r="Q81" s="140" t="s">
        <v>129</v>
      </c>
      <c r="R81" s="98">
        <f>C58</f>
        <v>150</v>
      </c>
      <c r="S81" s="50"/>
      <c r="T81" s="54" t="s">
        <v>73</v>
      </c>
      <c r="U81" s="99" t="s">
        <v>7</v>
      </c>
      <c r="V81" s="5"/>
      <c r="W81" s="257" t="s">
        <v>130</v>
      </c>
      <c r="X81" s="258" t="s">
        <v>61</v>
      </c>
      <c r="Y81" s="259"/>
      <c r="Z81" s="260"/>
      <c r="AA81" s="260"/>
      <c r="AB81" s="260"/>
      <c r="AC81" s="260"/>
      <c r="AD81" s="260"/>
      <c r="AE81" s="187"/>
    </row>
    <row r="82" spans="1:31" s="6" customFormat="1" ht="14.25">
      <c r="A82" s="110"/>
      <c r="B82" s="111"/>
      <c r="C82" s="123" t="s">
        <v>14</v>
      </c>
      <c r="D82" s="124" t="s">
        <v>88</v>
      </c>
      <c r="E82" s="125" t="s">
        <v>89</v>
      </c>
      <c r="F82" s="50"/>
      <c r="G82" s="50"/>
      <c r="H82" s="50"/>
      <c r="I82" s="97"/>
      <c r="K82" s="140" t="s">
        <v>130</v>
      </c>
      <c r="L82" s="105">
        <f>C59</f>
        <v>0</v>
      </c>
      <c r="M82" s="50"/>
      <c r="N82" s="54" t="s">
        <v>74</v>
      </c>
      <c r="O82" s="99" t="s">
        <v>7</v>
      </c>
      <c r="P82" s="5"/>
      <c r="Q82" s="140" t="s">
        <v>130</v>
      </c>
      <c r="R82" s="141">
        <f>C59</f>
        <v>0</v>
      </c>
      <c r="S82" s="50"/>
      <c r="T82" s="54" t="s">
        <v>74</v>
      </c>
      <c r="U82" s="99" t="s">
        <v>7</v>
      </c>
      <c r="V82" s="5"/>
      <c r="W82" s="257" t="s">
        <v>132</v>
      </c>
      <c r="X82" s="261" t="s">
        <v>62</v>
      </c>
      <c r="Y82" s="259"/>
      <c r="Z82" s="260"/>
      <c r="AA82" s="260"/>
      <c r="AB82" s="260"/>
      <c r="AC82" s="260"/>
      <c r="AD82" s="260"/>
      <c r="AE82" s="187"/>
    </row>
    <row r="83" spans="1:31" s="6" customFormat="1" ht="14.25">
      <c r="A83" s="49" t="s">
        <v>24</v>
      </c>
      <c r="B83" s="123" t="s">
        <v>146</v>
      </c>
      <c r="C83" s="142">
        <f>L85</f>
        <v>15</v>
      </c>
      <c r="D83" s="143">
        <f>M85</f>
        <v>4.5</v>
      </c>
      <c r="E83" s="144">
        <f>N85</f>
        <v>45</v>
      </c>
      <c r="F83" s="50"/>
      <c r="G83" s="50"/>
      <c r="H83" s="50"/>
      <c r="I83" s="97"/>
      <c r="K83" s="140" t="s">
        <v>147</v>
      </c>
      <c r="L83" s="145">
        <v>0.2</v>
      </c>
      <c r="M83" s="145">
        <v>0.05</v>
      </c>
      <c r="N83" s="145">
        <v>0.5</v>
      </c>
      <c r="O83" s="99"/>
      <c r="P83" s="5"/>
      <c r="Q83" s="140" t="s">
        <v>132</v>
      </c>
      <c r="R83" s="50">
        <f>C60</f>
        <v>70.73920000000001</v>
      </c>
      <c r="S83" s="50"/>
      <c r="T83" s="54" t="s">
        <v>75</v>
      </c>
      <c r="U83" s="99" t="s">
        <v>7</v>
      </c>
      <c r="V83" s="5"/>
      <c r="W83" s="257" t="s">
        <v>134</v>
      </c>
      <c r="X83" s="258" t="s">
        <v>63</v>
      </c>
      <c r="Y83" s="259"/>
      <c r="Z83" s="260"/>
      <c r="AA83" s="260"/>
      <c r="AB83" s="260"/>
      <c r="AC83" s="260"/>
      <c r="AD83" s="260"/>
      <c r="AE83" s="187"/>
    </row>
    <row r="84" spans="1:31" s="6" customFormat="1" ht="14.25">
      <c r="A84" s="49" t="s">
        <v>25</v>
      </c>
      <c r="B84" s="123" t="s">
        <v>148</v>
      </c>
      <c r="C84" s="142">
        <f>R86</f>
        <v>0</v>
      </c>
      <c r="D84" s="143">
        <f>S86</f>
        <v>0</v>
      </c>
      <c r="E84" s="144">
        <f>T86</f>
        <v>0</v>
      </c>
      <c r="F84" s="50"/>
      <c r="G84" s="50"/>
      <c r="H84" s="50"/>
      <c r="I84" s="97"/>
      <c r="K84" s="140" t="s">
        <v>149</v>
      </c>
      <c r="L84" s="145">
        <v>0.1</v>
      </c>
      <c r="M84" s="145">
        <v>0.03</v>
      </c>
      <c r="N84" s="145">
        <v>0.3</v>
      </c>
      <c r="O84" s="99"/>
      <c r="P84" s="5"/>
      <c r="Q84" s="140" t="s">
        <v>134</v>
      </c>
      <c r="R84" s="98">
        <f>C61</f>
        <v>0</v>
      </c>
      <c r="S84" s="50"/>
      <c r="T84" s="54" t="s">
        <v>76</v>
      </c>
      <c r="U84" s="99" t="s">
        <v>7</v>
      </c>
      <c r="V84" s="5"/>
      <c r="W84" s="257"/>
      <c r="X84" s="258" t="s">
        <v>64</v>
      </c>
      <c r="Y84" s="259"/>
      <c r="Z84" s="260"/>
      <c r="AA84" s="260"/>
      <c r="AB84" s="260"/>
      <c r="AC84" s="260"/>
      <c r="AD84" s="260"/>
      <c r="AE84" s="187"/>
    </row>
    <row r="85" spans="1:31" s="6" customFormat="1" ht="16.5" customHeight="1">
      <c r="A85" s="110"/>
      <c r="B85" s="111"/>
      <c r="C85" s="111"/>
      <c r="D85" s="111"/>
      <c r="E85" s="111"/>
      <c r="F85" s="111"/>
      <c r="G85" s="111"/>
      <c r="H85" s="111"/>
      <c r="I85" s="97"/>
      <c r="K85" s="146" t="s">
        <v>150</v>
      </c>
      <c r="L85" s="147">
        <f>($L81*L84+$L82*L83)</f>
        <v>15</v>
      </c>
      <c r="M85" s="148">
        <f>($L81*M84+$L82*M83)</f>
        <v>4.5</v>
      </c>
      <c r="N85" s="148">
        <f>($L81*N84+$L82*N83)</f>
        <v>45</v>
      </c>
      <c r="O85" s="149" t="s">
        <v>69</v>
      </c>
      <c r="P85" s="5"/>
      <c r="Q85" s="140" t="s">
        <v>151</v>
      </c>
      <c r="R85" s="145">
        <f>IF(C28="no",0,0.3)</f>
        <v>0</v>
      </c>
      <c r="S85" s="145">
        <f>IF(C28="no",0,0.1)</f>
        <v>0</v>
      </c>
      <c r="T85" s="145">
        <f>IF(C28="no",0,0.8)</f>
        <v>0</v>
      </c>
      <c r="U85" s="99"/>
      <c r="V85" s="5"/>
      <c r="W85" s="257" t="s">
        <v>151</v>
      </c>
      <c r="X85" s="258" t="s">
        <v>65</v>
      </c>
      <c r="Y85" s="246"/>
      <c r="Z85" s="259"/>
      <c r="AA85" s="259"/>
      <c r="AB85" s="259"/>
      <c r="AC85" s="259"/>
      <c r="AD85" s="259"/>
      <c r="AE85" s="187"/>
    </row>
    <row r="86" spans="1:31" s="6" customFormat="1" ht="18" customHeight="1">
      <c r="A86" s="49" t="s">
        <v>224</v>
      </c>
      <c r="B86" s="115" t="s">
        <v>152</v>
      </c>
      <c r="C86" s="116">
        <f>L88</f>
        <v>0.01</v>
      </c>
      <c r="D86" s="117">
        <f>M88</f>
        <v>0.002</v>
      </c>
      <c r="E86" s="118">
        <f>N88</f>
        <v>0.05</v>
      </c>
      <c r="F86" s="50"/>
      <c r="G86" s="50"/>
      <c r="H86" s="50"/>
      <c r="I86" s="97"/>
      <c r="K86" s="110"/>
      <c r="L86" s="111"/>
      <c r="M86" s="111"/>
      <c r="N86" s="111"/>
      <c r="O86" s="97"/>
      <c r="P86" s="5"/>
      <c r="Q86" s="150" t="s">
        <v>153</v>
      </c>
      <c r="R86" s="151">
        <f>SUM($R81:$R84)*R85</f>
        <v>0</v>
      </c>
      <c r="S86" s="148">
        <f>SUM($R81:$R84)*S85</f>
        <v>0</v>
      </c>
      <c r="T86" s="148">
        <f>SUM($R81:$R84)*T85</f>
        <v>0</v>
      </c>
      <c r="U86" s="120" t="s">
        <v>72</v>
      </c>
      <c r="V86" s="5"/>
      <c r="W86" s="257" t="s">
        <v>147</v>
      </c>
      <c r="X86" s="262" t="s">
        <v>231</v>
      </c>
      <c r="Y86" s="259"/>
      <c r="Z86" s="246"/>
      <c r="AA86" s="246"/>
      <c r="AB86" s="246"/>
      <c r="AC86" s="246"/>
      <c r="AD86" s="246"/>
      <c r="AE86" s="263"/>
    </row>
    <row r="87" spans="1:31" s="6" customFormat="1" ht="14.25">
      <c r="A87" s="49" t="s">
        <v>225</v>
      </c>
      <c r="B87" s="115" t="s">
        <v>154</v>
      </c>
      <c r="C87" s="152">
        <f>R88</f>
        <v>0.0075</v>
      </c>
      <c r="D87" s="117">
        <f>S88</f>
        <v>0.0005</v>
      </c>
      <c r="E87" s="118">
        <f>T88</f>
        <v>0.025</v>
      </c>
      <c r="F87" s="50"/>
      <c r="G87" s="50"/>
      <c r="H87" s="50"/>
      <c r="I87" s="97"/>
      <c r="K87" s="153"/>
      <c r="L87" s="154"/>
      <c r="M87" s="154"/>
      <c r="N87" s="154"/>
      <c r="O87" s="155"/>
      <c r="P87" s="5"/>
      <c r="Q87" s="140"/>
      <c r="R87" s="98"/>
      <c r="S87" s="50"/>
      <c r="T87" s="50"/>
      <c r="U87" s="99"/>
      <c r="V87" s="5"/>
      <c r="W87" s="257" t="s">
        <v>149</v>
      </c>
      <c r="X87" s="264" t="s">
        <v>232</v>
      </c>
      <c r="Y87" s="265"/>
      <c r="Z87" s="259"/>
      <c r="AA87" s="259"/>
      <c r="AB87" s="259"/>
      <c r="AC87" s="259"/>
      <c r="AD87" s="259"/>
      <c r="AE87" s="187"/>
    </row>
    <row r="88" spans="1:31" s="6" customFormat="1" ht="14.25">
      <c r="A88" s="110"/>
      <c r="B88" s="111"/>
      <c r="C88" s="111"/>
      <c r="D88" s="111"/>
      <c r="E88" s="111"/>
      <c r="F88" s="111"/>
      <c r="G88" s="111"/>
      <c r="H88" s="111"/>
      <c r="I88" s="97"/>
      <c r="K88" s="156" t="s">
        <v>155</v>
      </c>
      <c r="L88" s="157">
        <v>0.01</v>
      </c>
      <c r="M88" s="157">
        <v>0.002</v>
      </c>
      <c r="N88" s="157">
        <v>0.05</v>
      </c>
      <c r="O88" s="155" t="s">
        <v>105</v>
      </c>
      <c r="P88" s="5"/>
      <c r="Q88" s="156" t="s">
        <v>156</v>
      </c>
      <c r="R88" s="158">
        <v>0.0075</v>
      </c>
      <c r="S88" s="158">
        <v>0.0005</v>
      </c>
      <c r="T88" s="158">
        <v>0.025</v>
      </c>
      <c r="U88" s="155" t="s">
        <v>105</v>
      </c>
      <c r="V88" s="5"/>
      <c r="W88" s="257"/>
      <c r="X88" s="266"/>
      <c r="Y88" s="267"/>
      <c r="Z88" s="267"/>
      <c r="AA88" s="267"/>
      <c r="AB88" s="267"/>
      <c r="AC88" s="267"/>
      <c r="AD88" s="267"/>
      <c r="AE88" s="189"/>
    </row>
    <row r="89" spans="1:31" s="6" customFormat="1" ht="12.75">
      <c r="A89" s="110"/>
      <c r="B89" s="111"/>
      <c r="C89" s="111"/>
      <c r="D89" s="111"/>
      <c r="E89" s="111"/>
      <c r="F89" s="111"/>
      <c r="G89" s="111"/>
      <c r="H89" s="111"/>
      <c r="I89" s="97"/>
      <c r="K89" s="107" t="s">
        <v>39</v>
      </c>
      <c r="L89" s="108"/>
      <c r="M89" s="108"/>
      <c r="N89" s="108"/>
      <c r="O89" s="109"/>
      <c r="P89" s="5"/>
      <c r="Q89" s="107" t="s">
        <v>39</v>
      </c>
      <c r="R89" s="108"/>
      <c r="S89" s="108"/>
      <c r="T89" s="108"/>
      <c r="U89" s="109"/>
      <c r="V89" s="5"/>
      <c r="W89" s="107"/>
      <c r="X89" s="159"/>
      <c r="Y89" s="159"/>
      <c r="Z89" s="159"/>
      <c r="AA89" s="159"/>
      <c r="AB89" s="159"/>
      <c r="AC89" s="159"/>
      <c r="AD89" s="159"/>
      <c r="AE89" s="160"/>
    </row>
    <row r="90" spans="1:29" s="6" customFormat="1" ht="14.25">
      <c r="A90" s="110"/>
      <c r="B90" s="111"/>
      <c r="C90" s="282" t="s">
        <v>28</v>
      </c>
      <c r="D90" s="283"/>
      <c r="E90" s="284"/>
      <c r="F90" s="282" t="s">
        <v>16</v>
      </c>
      <c r="G90" s="283"/>
      <c r="H90" s="284"/>
      <c r="I90" s="97"/>
      <c r="V90" s="5"/>
      <c r="W90" s="5"/>
      <c r="X90" s="5"/>
      <c r="Y90" s="5"/>
      <c r="Z90" s="5"/>
      <c r="AA90" s="5"/>
      <c r="AB90" s="5"/>
      <c r="AC90" s="5"/>
    </row>
    <row r="91" spans="1:29" s="6" customFormat="1" ht="14.25">
      <c r="A91" s="131" t="s">
        <v>27</v>
      </c>
      <c r="B91" s="123" t="s">
        <v>157</v>
      </c>
      <c r="C91" s="198">
        <f aca="true" t="shared" si="0" ref="C91:E92">C83*C86</f>
        <v>0.15</v>
      </c>
      <c r="D91" s="199">
        <f t="shared" si="0"/>
        <v>0.009000000000000001</v>
      </c>
      <c r="E91" s="200">
        <f t="shared" si="0"/>
        <v>2.25</v>
      </c>
      <c r="F91" s="201">
        <f aca="true" t="shared" si="1" ref="F91:H92">C91*44/28</f>
        <v>0.2357142857142857</v>
      </c>
      <c r="G91" s="201">
        <f t="shared" si="1"/>
        <v>0.014142857142857143</v>
      </c>
      <c r="H91" s="200">
        <f t="shared" si="1"/>
        <v>3.5357142857142856</v>
      </c>
      <c r="I91" s="97"/>
      <c r="J91" s="5"/>
      <c r="V91" s="5"/>
      <c r="W91" s="5"/>
      <c r="X91" s="5"/>
      <c r="Y91" s="5"/>
      <c r="Z91" s="5"/>
      <c r="AA91" s="5"/>
      <c r="AB91" s="5"/>
      <c r="AC91" s="5"/>
    </row>
    <row r="92" spans="1:29" s="6" customFormat="1" ht="14.25">
      <c r="A92" s="131" t="s">
        <v>26</v>
      </c>
      <c r="B92" s="123" t="s">
        <v>158</v>
      </c>
      <c r="C92" s="190">
        <f t="shared" si="0"/>
        <v>0</v>
      </c>
      <c r="D92" s="202">
        <f t="shared" si="0"/>
        <v>0</v>
      </c>
      <c r="E92" s="192">
        <f t="shared" si="0"/>
        <v>0</v>
      </c>
      <c r="F92" s="191">
        <f t="shared" si="1"/>
        <v>0</v>
      </c>
      <c r="G92" s="191">
        <f t="shared" si="1"/>
        <v>0</v>
      </c>
      <c r="H92" s="192">
        <f t="shared" si="1"/>
        <v>0</v>
      </c>
      <c r="I92" s="97"/>
      <c r="J92" s="5"/>
      <c r="V92" s="5"/>
      <c r="W92" s="5"/>
      <c r="X92" s="5"/>
      <c r="Y92" s="5"/>
      <c r="Z92" s="5"/>
      <c r="AA92" s="5"/>
      <c r="AB92" s="5"/>
      <c r="AC92" s="5"/>
    </row>
    <row r="93" spans="1:29" s="6" customFormat="1" ht="12.75">
      <c r="A93" s="121"/>
      <c r="B93" s="161"/>
      <c r="C93" s="162"/>
      <c r="D93" s="10"/>
      <c r="E93" s="10"/>
      <c r="F93" s="162"/>
      <c r="G93" s="10"/>
      <c r="H93" s="10"/>
      <c r="I93" s="163"/>
      <c r="J93" s="5"/>
      <c r="K93" s="5"/>
      <c r="L93" s="5"/>
      <c r="M93" s="5"/>
      <c r="N93" s="5"/>
      <c r="O93" s="5"/>
      <c r="P93" s="5"/>
      <c r="Q93" s="5"/>
      <c r="R93" s="5"/>
      <c r="S93" s="5"/>
      <c r="T93" s="5"/>
      <c r="U93" s="5"/>
      <c r="V93" s="5"/>
      <c r="W93" s="5"/>
      <c r="X93" s="5"/>
      <c r="Y93" s="5"/>
      <c r="Z93" s="5"/>
      <c r="AA93" s="5"/>
      <c r="AB93" s="5"/>
      <c r="AC93" s="5"/>
    </row>
    <row r="94" spans="1:29" s="6" customFormat="1" ht="12.75">
      <c r="A94" s="164"/>
      <c r="B94" s="164"/>
      <c r="C94" s="5"/>
      <c r="D94" s="5"/>
      <c r="E94" s="5"/>
      <c r="F94" s="5"/>
      <c r="G94" s="5"/>
      <c r="H94" s="5"/>
      <c r="J94" s="5"/>
      <c r="K94" s="5"/>
      <c r="L94" s="5"/>
      <c r="M94" s="5"/>
      <c r="N94" s="5"/>
      <c r="O94" s="5"/>
      <c r="P94" s="5"/>
      <c r="Q94" s="5"/>
      <c r="R94" s="5"/>
      <c r="S94" s="5"/>
      <c r="T94" s="5"/>
      <c r="U94" s="5"/>
      <c r="V94" s="5"/>
      <c r="W94" s="5"/>
      <c r="X94" s="5"/>
      <c r="Y94" s="5"/>
      <c r="Z94" s="5"/>
      <c r="AA94" s="5"/>
      <c r="AB94" s="5"/>
      <c r="AC94" s="5"/>
    </row>
    <row r="95" spans="1:29" s="6" customFormat="1" ht="17.25" customHeight="1">
      <c r="A95" s="215" t="s">
        <v>29</v>
      </c>
      <c r="B95" s="216"/>
      <c r="C95" s="217"/>
      <c r="D95" s="217"/>
      <c r="E95" s="217"/>
      <c r="F95" s="218"/>
      <c r="G95" s="219"/>
      <c r="H95" s="218"/>
      <c r="I95" s="220"/>
      <c r="J95" s="5"/>
      <c r="K95" s="5"/>
      <c r="L95" s="5"/>
      <c r="M95" s="5"/>
      <c r="N95" s="5"/>
      <c r="O95" s="5"/>
      <c r="P95" s="5"/>
      <c r="Q95" s="5"/>
      <c r="R95" s="5"/>
      <c r="S95" s="5"/>
      <c r="T95" s="5"/>
      <c r="U95" s="5"/>
      <c r="V95" s="5"/>
      <c r="W95" s="5"/>
      <c r="X95" s="5"/>
      <c r="Y95" s="5"/>
      <c r="Z95" s="5"/>
      <c r="AA95" s="5"/>
      <c r="AB95" s="5"/>
      <c r="AC95" s="5"/>
    </row>
    <row r="96" spans="1:29" s="6" customFormat="1" ht="20.25" customHeight="1">
      <c r="A96" s="165"/>
      <c r="B96" s="166"/>
      <c r="C96" s="3"/>
      <c r="D96" s="3"/>
      <c r="E96" s="3"/>
      <c r="F96" s="3"/>
      <c r="G96" s="3"/>
      <c r="H96" s="3"/>
      <c r="I96" s="4"/>
      <c r="J96" s="5"/>
      <c r="K96" s="5"/>
      <c r="L96" s="5"/>
      <c r="M96" s="5"/>
      <c r="N96" s="5"/>
      <c r="O96" s="5"/>
      <c r="P96" s="5"/>
      <c r="Q96" s="5"/>
      <c r="R96" s="5"/>
      <c r="S96" s="5"/>
      <c r="T96" s="5"/>
      <c r="U96" s="5"/>
      <c r="V96" s="5"/>
      <c r="W96" s="5"/>
      <c r="X96" s="5"/>
      <c r="Y96" s="5"/>
      <c r="Z96" s="5"/>
      <c r="AA96" s="5"/>
      <c r="AB96" s="5"/>
      <c r="AC96" s="5"/>
    </row>
    <row r="97" spans="1:29" s="6" customFormat="1" ht="22.5" customHeight="1">
      <c r="A97" s="119"/>
      <c r="B97" s="89"/>
      <c r="C97" s="282" t="s">
        <v>15</v>
      </c>
      <c r="D97" s="285"/>
      <c r="E97" s="286"/>
      <c r="F97" s="282" t="s">
        <v>16</v>
      </c>
      <c r="G97" s="285"/>
      <c r="H97" s="286"/>
      <c r="I97" s="26"/>
      <c r="J97" s="5"/>
      <c r="K97" s="5"/>
      <c r="L97" s="5"/>
      <c r="M97" s="5"/>
      <c r="N97" s="5"/>
      <c r="O97" s="5"/>
      <c r="P97" s="5"/>
      <c r="Q97" s="5"/>
      <c r="R97" s="5"/>
      <c r="S97" s="5"/>
      <c r="T97" s="5"/>
      <c r="U97" s="5"/>
      <c r="V97" s="5"/>
      <c r="W97" s="5"/>
      <c r="X97" s="5"/>
      <c r="Y97" s="5"/>
      <c r="Z97" s="5"/>
      <c r="AA97" s="5"/>
      <c r="AB97" s="5"/>
      <c r="AC97" s="5"/>
    </row>
    <row r="98" spans="1:29" s="6" customFormat="1" ht="22.5" customHeight="1">
      <c r="A98" s="24"/>
      <c r="B98" s="2"/>
      <c r="C98" s="123" t="s">
        <v>14</v>
      </c>
      <c r="D98" s="124" t="s">
        <v>88</v>
      </c>
      <c r="E98" s="125" t="s">
        <v>89</v>
      </c>
      <c r="F98" s="126" t="s">
        <v>14</v>
      </c>
      <c r="G98" s="66" t="s">
        <v>88</v>
      </c>
      <c r="H98" s="92" t="s">
        <v>89</v>
      </c>
      <c r="I98" s="99"/>
      <c r="J98" s="5"/>
      <c r="K98" s="5"/>
      <c r="L98" s="5"/>
      <c r="M98" s="5"/>
      <c r="N98" s="5"/>
      <c r="O98" s="5"/>
      <c r="P98" s="5"/>
      <c r="Q98" s="5"/>
      <c r="R98" s="5"/>
      <c r="S98" s="5"/>
      <c r="T98" s="5"/>
      <c r="U98" s="5"/>
      <c r="V98" s="5"/>
      <c r="W98" s="5"/>
      <c r="X98" s="5"/>
      <c r="Y98" s="5"/>
      <c r="Z98" s="5"/>
      <c r="AA98" s="5"/>
      <c r="AB98" s="5"/>
      <c r="AC98" s="5"/>
    </row>
    <row r="99" spans="1:29" s="6" customFormat="1" ht="22.5" customHeight="1">
      <c r="A99" s="167"/>
      <c r="B99" s="168" t="s">
        <v>31</v>
      </c>
      <c r="C99" s="198">
        <f>SUM(C76,C91,C92)</f>
        <v>2.357392</v>
      </c>
      <c r="D99" s="201">
        <f>SUM(D76,D91,D92)</f>
        <v>0.6712176000000001</v>
      </c>
      <c r="E99" s="200">
        <f>SUM(E76,E91,E92)</f>
        <v>8.872176</v>
      </c>
      <c r="F99" s="198">
        <f aca="true" t="shared" si="2" ref="F99:H101">C99*44/28</f>
        <v>3.7044731428571427</v>
      </c>
      <c r="G99" s="201">
        <f t="shared" si="2"/>
        <v>1.0547705142857144</v>
      </c>
      <c r="H99" s="200">
        <f t="shared" si="2"/>
        <v>13.941990857142857</v>
      </c>
      <c r="I99" s="99"/>
      <c r="J99" s="5"/>
      <c r="K99" s="5"/>
      <c r="L99" s="5"/>
      <c r="M99" s="5"/>
      <c r="N99" s="5"/>
      <c r="O99" s="5"/>
      <c r="P99" s="5"/>
      <c r="Q99" s="5"/>
      <c r="R99" s="5"/>
      <c r="S99" s="5"/>
      <c r="T99" s="5"/>
      <c r="U99" s="5"/>
      <c r="V99" s="5"/>
      <c r="W99" s="5"/>
      <c r="X99" s="5"/>
      <c r="Y99" s="5"/>
      <c r="Z99" s="5"/>
      <c r="AA99" s="5"/>
      <c r="AB99" s="5"/>
      <c r="AC99" s="5"/>
    </row>
    <row r="100" spans="1:29" s="6" customFormat="1" ht="12.75">
      <c r="A100" s="167"/>
      <c r="B100" s="168" t="s">
        <v>32</v>
      </c>
      <c r="C100" s="203">
        <f>C99/C25*1000</f>
        <v>0.47147839999999996</v>
      </c>
      <c r="D100" s="204">
        <f>D99/C25*1000</f>
        <v>0.13424352</v>
      </c>
      <c r="E100" s="205">
        <f>E99/C25*1000</f>
        <v>1.7744351999999999</v>
      </c>
      <c r="F100" s="203">
        <f t="shared" si="2"/>
        <v>0.7408946285714285</v>
      </c>
      <c r="G100" s="204">
        <f t="shared" si="2"/>
        <v>0.21095410285714286</v>
      </c>
      <c r="H100" s="205">
        <f t="shared" si="2"/>
        <v>2.7883981714285713</v>
      </c>
      <c r="I100" s="99"/>
      <c r="J100" s="5"/>
      <c r="K100" s="5"/>
      <c r="L100" s="5"/>
      <c r="M100" s="5"/>
      <c r="N100" s="5"/>
      <c r="O100" s="5"/>
      <c r="P100" s="5"/>
      <c r="Q100" s="5"/>
      <c r="R100" s="5"/>
      <c r="S100" s="5"/>
      <c r="T100" s="5"/>
      <c r="U100" s="5"/>
      <c r="V100" s="5"/>
      <c r="W100" s="5"/>
      <c r="X100" s="5"/>
      <c r="Y100" s="5"/>
      <c r="Z100" s="5"/>
      <c r="AA100" s="5"/>
      <c r="AB100" s="5"/>
      <c r="AC100" s="5"/>
    </row>
    <row r="101" spans="1:9" ht="12.75">
      <c r="A101" s="167"/>
      <c r="B101" s="168" t="s">
        <v>226</v>
      </c>
      <c r="C101" s="206">
        <f>C100/VLOOKUP(C22,U56:AF67,12,FALSE)</f>
        <v>0.02773402352941176</v>
      </c>
      <c r="D101" s="207">
        <f>D100/VLOOKUP(C22,U56:AF67,12,FALSE)</f>
        <v>0.007896677647058824</v>
      </c>
      <c r="E101" s="208">
        <f>E100/VLOOKUP(C22,U56:AF67,12,FALSE)</f>
        <v>0.10437854117647058</v>
      </c>
      <c r="F101" s="209">
        <f t="shared" si="2"/>
        <v>0.043582036974789906</v>
      </c>
      <c r="G101" s="210">
        <f t="shared" si="2"/>
        <v>0.01240906487394958</v>
      </c>
      <c r="H101" s="211">
        <f t="shared" si="2"/>
        <v>0.1640234218487395</v>
      </c>
      <c r="I101" s="99"/>
    </row>
    <row r="102" spans="1:9" ht="12.75">
      <c r="A102" s="167"/>
      <c r="B102" s="168"/>
      <c r="C102" s="168"/>
      <c r="D102" s="168"/>
      <c r="E102" s="168"/>
      <c r="F102" s="168"/>
      <c r="G102" s="168"/>
      <c r="H102" s="168"/>
      <c r="I102" s="99"/>
    </row>
    <row r="103" spans="1:9" ht="14.25">
      <c r="A103" s="169" t="s">
        <v>30</v>
      </c>
      <c r="B103" s="170"/>
      <c r="C103" s="168"/>
      <c r="D103" s="168"/>
      <c r="E103" s="168"/>
      <c r="F103" s="212">
        <f>F99</f>
        <v>3.7044731428571427</v>
      </c>
      <c r="G103" s="213" t="s">
        <v>33</v>
      </c>
      <c r="H103" s="214"/>
      <c r="I103" s="99"/>
    </row>
    <row r="104" spans="1:9" ht="12.75">
      <c r="A104" s="9"/>
      <c r="B104" s="10"/>
      <c r="C104" s="10"/>
      <c r="D104" s="10"/>
      <c r="E104" s="10"/>
      <c r="F104" s="10"/>
      <c r="G104" s="10"/>
      <c r="H104" s="10"/>
      <c r="I104" s="11"/>
    </row>
    <row r="105" ht="12.75">
      <c r="F105" s="12"/>
    </row>
    <row r="106" spans="1:9" ht="18.75">
      <c r="A106" s="215" t="s">
        <v>34</v>
      </c>
      <c r="B106" s="216"/>
      <c r="C106" s="217"/>
      <c r="D106" s="217"/>
      <c r="E106" s="217"/>
      <c r="F106" s="218"/>
      <c r="G106" s="219"/>
      <c r="H106" s="218"/>
      <c r="I106" s="220"/>
    </row>
    <row r="107" spans="1:9" ht="31.5" customHeight="1">
      <c r="A107" s="287" t="s">
        <v>3</v>
      </c>
      <c r="B107" s="288"/>
      <c r="C107" s="288"/>
      <c r="D107" s="288"/>
      <c r="E107" s="288"/>
      <c r="F107" s="288"/>
      <c r="G107" s="288"/>
      <c r="H107" s="13"/>
      <c r="I107" s="14"/>
    </row>
    <row r="108" spans="1:9" ht="29.25" customHeight="1">
      <c r="A108" s="279" t="s">
        <v>209</v>
      </c>
      <c r="B108" s="280"/>
      <c r="C108" s="280"/>
      <c r="D108" s="280"/>
      <c r="E108" s="280"/>
      <c r="F108" s="280"/>
      <c r="G108" s="280"/>
      <c r="H108" s="2"/>
      <c r="I108" s="15"/>
    </row>
    <row r="109" spans="1:9" ht="30" customHeight="1">
      <c r="A109" s="279" t="s">
        <v>106</v>
      </c>
      <c r="B109" s="280"/>
      <c r="C109" s="280"/>
      <c r="D109" s="280"/>
      <c r="E109" s="280"/>
      <c r="F109" s="280"/>
      <c r="G109" s="280"/>
      <c r="H109" s="2"/>
      <c r="I109" s="15"/>
    </row>
    <row r="110" spans="1:9" ht="27" customHeight="1">
      <c r="A110" s="279" t="s">
        <v>107</v>
      </c>
      <c r="B110" s="280"/>
      <c r="C110" s="280"/>
      <c r="D110" s="280"/>
      <c r="E110" s="280"/>
      <c r="F110" s="280"/>
      <c r="G110" s="280"/>
      <c r="H110" s="2"/>
      <c r="I110" s="15"/>
    </row>
    <row r="111" spans="1:9" ht="41.25" customHeight="1">
      <c r="A111" s="279" t="s">
        <v>108</v>
      </c>
      <c r="B111" s="280"/>
      <c r="C111" s="280"/>
      <c r="D111" s="280"/>
      <c r="E111" s="280"/>
      <c r="F111" s="280"/>
      <c r="G111" s="280"/>
      <c r="H111" s="2"/>
      <c r="I111" s="15"/>
    </row>
    <row r="112" spans="1:9" ht="28.5" customHeight="1">
      <c r="A112" s="279" t="s">
        <v>109</v>
      </c>
      <c r="B112" s="280"/>
      <c r="C112" s="280"/>
      <c r="D112" s="280"/>
      <c r="E112" s="280"/>
      <c r="F112" s="280"/>
      <c r="G112" s="280"/>
      <c r="H112" s="2"/>
      <c r="I112" s="15"/>
    </row>
    <row r="113" spans="1:29" s="6" customFormat="1" ht="28.5" customHeight="1">
      <c r="A113" s="279" t="s">
        <v>110</v>
      </c>
      <c r="B113" s="280"/>
      <c r="C113" s="280"/>
      <c r="D113" s="280"/>
      <c r="E113" s="280"/>
      <c r="F113" s="280"/>
      <c r="G113" s="280"/>
      <c r="H113" s="2"/>
      <c r="I113" s="15"/>
      <c r="J113" s="5"/>
      <c r="K113" s="5"/>
      <c r="L113" s="5"/>
      <c r="M113" s="5"/>
      <c r="N113" s="5"/>
      <c r="O113" s="5"/>
      <c r="P113" s="5"/>
      <c r="Q113" s="5"/>
      <c r="R113" s="5"/>
      <c r="S113" s="5"/>
      <c r="T113" s="5"/>
      <c r="U113" s="5"/>
      <c r="V113" s="5"/>
      <c r="W113" s="5"/>
      <c r="X113" s="5"/>
      <c r="Y113" s="5"/>
      <c r="Z113" s="5"/>
      <c r="AA113" s="5"/>
      <c r="AB113" s="5"/>
      <c r="AC113" s="5"/>
    </row>
    <row r="114" spans="1:29" s="6" customFormat="1" ht="12.75" customHeight="1">
      <c r="A114" s="279" t="s">
        <v>111</v>
      </c>
      <c r="B114" s="280"/>
      <c r="C114" s="280"/>
      <c r="D114" s="280"/>
      <c r="E114" s="280"/>
      <c r="F114" s="280"/>
      <c r="G114" s="280"/>
      <c r="H114" s="2"/>
      <c r="I114" s="15"/>
      <c r="J114" s="5"/>
      <c r="K114" s="5"/>
      <c r="L114" s="5"/>
      <c r="M114" s="5"/>
      <c r="N114" s="5"/>
      <c r="O114" s="5"/>
      <c r="P114" s="5"/>
      <c r="Q114" s="5"/>
      <c r="R114" s="5"/>
      <c r="S114" s="5"/>
      <c r="T114" s="5"/>
      <c r="U114" s="5"/>
      <c r="V114" s="5"/>
      <c r="W114" s="5"/>
      <c r="X114" s="5"/>
      <c r="Y114" s="5"/>
      <c r="Z114" s="5"/>
      <c r="AA114" s="5"/>
      <c r="AB114" s="5"/>
      <c r="AC114" s="5"/>
    </row>
    <row r="115" spans="1:29" s="6" customFormat="1" ht="12.75" customHeight="1">
      <c r="A115" s="280" t="s">
        <v>112</v>
      </c>
      <c r="B115" s="280"/>
      <c r="C115" s="280"/>
      <c r="D115" s="280"/>
      <c r="E115" s="280"/>
      <c r="F115" s="280"/>
      <c r="G115" s="280"/>
      <c r="H115" s="2"/>
      <c r="I115" s="15"/>
      <c r="J115" s="5"/>
      <c r="K115" s="5"/>
      <c r="L115" s="5"/>
      <c r="M115" s="5"/>
      <c r="N115" s="5"/>
      <c r="O115" s="5"/>
      <c r="P115" s="5"/>
      <c r="Q115" s="5"/>
      <c r="R115" s="5"/>
      <c r="S115" s="5"/>
      <c r="T115" s="5"/>
      <c r="U115" s="5"/>
      <c r="V115" s="5"/>
      <c r="W115" s="5"/>
      <c r="X115" s="5"/>
      <c r="Y115" s="5"/>
      <c r="Z115" s="5"/>
      <c r="AA115" s="5"/>
      <c r="AB115" s="5"/>
      <c r="AC115" s="5"/>
    </row>
    <row r="116" spans="1:29" s="6" customFormat="1" ht="12.75" customHeight="1">
      <c r="A116" s="280" t="s">
        <v>113</v>
      </c>
      <c r="B116" s="280"/>
      <c r="C116" s="280"/>
      <c r="D116" s="280"/>
      <c r="E116" s="280"/>
      <c r="F116" s="280"/>
      <c r="G116" s="280"/>
      <c r="H116" s="2"/>
      <c r="I116" s="15"/>
      <c r="J116" s="5"/>
      <c r="K116" s="5"/>
      <c r="L116" s="5"/>
      <c r="M116" s="5"/>
      <c r="N116" s="5"/>
      <c r="O116" s="5"/>
      <c r="P116" s="5"/>
      <c r="Q116" s="5"/>
      <c r="R116" s="5"/>
      <c r="S116" s="5"/>
      <c r="T116" s="5"/>
      <c r="U116" s="5"/>
      <c r="V116" s="5"/>
      <c r="W116" s="5"/>
      <c r="X116" s="5"/>
      <c r="Y116" s="5"/>
      <c r="Z116" s="5"/>
      <c r="AA116" s="5"/>
      <c r="AB116" s="5"/>
      <c r="AC116" s="5"/>
    </row>
    <row r="117" spans="1:29" s="6" customFormat="1" ht="12.75" customHeight="1">
      <c r="A117" s="280" t="s">
        <v>114</v>
      </c>
      <c r="B117" s="280"/>
      <c r="C117" s="280"/>
      <c r="D117" s="280"/>
      <c r="E117" s="280"/>
      <c r="F117" s="280"/>
      <c r="G117" s="280"/>
      <c r="H117" s="2"/>
      <c r="I117" s="15"/>
      <c r="J117" s="5"/>
      <c r="K117" s="5"/>
      <c r="L117" s="5"/>
      <c r="M117" s="5"/>
      <c r="N117" s="5"/>
      <c r="O117" s="5"/>
      <c r="P117" s="5"/>
      <c r="Q117" s="5"/>
      <c r="R117" s="5"/>
      <c r="S117" s="5"/>
      <c r="T117" s="5"/>
      <c r="U117" s="5"/>
      <c r="V117" s="5"/>
      <c r="W117" s="5"/>
      <c r="X117" s="5"/>
      <c r="Y117" s="5"/>
      <c r="Z117" s="5"/>
      <c r="AA117" s="5"/>
      <c r="AB117" s="5"/>
      <c r="AC117" s="5"/>
    </row>
    <row r="118" spans="1:29" s="6" customFormat="1" ht="12.75" customHeight="1">
      <c r="A118" s="281" t="s">
        <v>115</v>
      </c>
      <c r="B118" s="281"/>
      <c r="C118" s="281"/>
      <c r="D118" s="281"/>
      <c r="E118" s="281"/>
      <c r="F118" s="281"/>
      <c r="G118" s="281"/>
      <c r="H118" s="16"/>
      <c r="I118" s="17"/>
      <c r="J118" s="5"/>
      <c r="K118" s="5"/>
      <c r="L118" s="5"/>
      <c r="M118" s="5"/>
      <c r="N118" s="5"/>
      <c r="O118" s="5"/>
      <c r="P118" s="5"/>
      <c r="Q118" s="5"/>
      <c r="R118" s="5"/>
      <c r="S118" s="5"/>
      <c r="T118" s="5"/>
      <c r="U118" s="5"/>
      <c r="V118" s="5"/>
      <c r="W118" s="5"/>
      <c r="X118" s="5"/>
      <c r="Y118" s="5"/>
      <c r="Z118" s="5"/>
      <c r="AA118" s="5"/>
      <c r="AB118" s="5"/>
      <c r="AC118" s="5"/>
    </row>
    <row r="119" spans="1:9" ht="12.75">
      <c r="A119" s="277"/>
      <c r="B119" s="277"/>
      <c r="C119" s="277"/>
      <c r="D119" s="277"/>
      <c r="E119" s="277"/>
      <c r="F119" s="277"/>
      <c r="G119" s="277"/>
      <c r="H119" s="277"/>
      <c r="I119" s="277"/>
    </row>
    <row r="120" spans="1:9" ht="18.75">
      <c r="A120" s="269" t="s">
        <v>78</v>
      </c>
      <c r="B120" s="270"/>
      <c r="C120" s="271"/>
      <c r="D120" s="271"/>
      <c r="E120" s="271"/>
      <c r="F120" s="272"/>
      <c r="G120" s="273"/>
      <c r="H120" s="272"/>
      <c r="I120" s="274"/>
    </row>
    <row r="121" spans="1:9" ht="12.75" customHeight="1">
      <c r="A121" s="296" t="s">
        <v>79</v>
      </c>
      <c r="B121" s="296"/>
      <c r="C121" s="296"/>
      <c r="D121" s="296"/>
      <c r="E121" s="296"/>
      <c r="F121" s="296"/>
      <c r="G121" s="296"/>
      <c r="H121" s="275"/>
      <c r="I121" s="276"/>
    </row>
  </sheetData>
  <sheetProtection/>
  <mergeCells count="38">
    <mergeCell ref="A121:G121"/>
    <mergeCell ref="A7:G7"/>
    <mergeCell ref="A8:G8"/>
    <mergeCell ref="A9:G9"/>
    <mergeCell ref="A10:G10"/>
    <mergeCell ref="A11:G11"/>
    <mergeCell ref="A12:G12"/>
    <mergeCell ref="A13:G13"/>
    <mergeCell ref="A14:G14"/>
    <mergeCell ref="A15:G15"/>
    <mergeCell ref="A16:G16"/>
    <mergeCell ref="A17:G17"/>
    <mergeCell ref="E28:I28"/>
    <mergeCell ref="C66:E66"/>
    <mergeCell ref="F66:H66"/>
    <mergeCell ref="Z70:AB70"/>
    <mergeCell ref="C71:E71"/>
    <mergeCell ref="F71:H71"/>
    <mergeCell ref="V73:X73"/>
    <mergeCell ref="C74:E74"/>
    <mergeCell ref="F74:H74"/>
    <mergeCell ref="V74:X74"/>
    <mergeCell ref="C90:E90"/>
    <mergeCell ref="F90:H90"/>
    <mergeCell ref="C97:E97"/>
    <mergeCell ref="F97:H97"/>
    <mergeCell ref="A107:G107"/>
    <mergeCell ref="A108:G108"/>
    <mergeCell ref="A109:G109"/>
    <mergeCell ref="A110:G110"/>
    <mergeCell ref="A111:G111"/>
    <mergeCell ref="A112:G112"/>
    <mergeCell ref="A117:G117"/>
    <mergeCell ref="A118:G118"/>
    <mergeCell ref="A113:G113"/>
    <mergeCell ref="A114:G114"/>
    <mergeCell ref="A115:G115"/>
    <mergeCell ref="A116:G116"/>
  </mergeCells>
  <dataValidations count="3">
    <dataValidation type="list" allowBlank="1" showInputMessage="1" showErrorMessage="1" sqref="C28">
      <formula1>$K$28:$M$28</formula1>
    </dataValidation>
    <dataValidation type="list" allowBlank="1" showInputMessage="1" showErrorMessage="1" sqref="C22">
      <formula1>$K$22:$V$22</formula1>
    </dataValidation>
    <dataValidation type="list" allowBlank="1" showInputMessage="1" showErrorMessage="1" sqref="C31">
      <formula1>$J$31:$O$31</formula1>
    </dataValidation>
  </dataValidations>
  <printOptions/>
  <pageMargins left="0.75" right="0.75" top="1" bottom="1" header="0" footer="0"/>
  <pageSetup fitToHeight="1" fitToWidth="1" horizontalDpi="600" verticalDpi="600" orientation="landscape" paperSize="9" scale="1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ciemat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Lechón</dc:creator>
  <cp:keywords/>
  <dc:description/>
  <cp:lastModifiedBy>Lago Rodriguez, M. Carmen</cp:lastModifiedBy>
  <cp:lastPrinted>2013-04-08T07:43:04Z</cp:lastPrinted>
  <dcterms:created xsi:type="dcterms:W3CDTF">2013-04-04T14:20:42Z</dcterms:created>
  <dcterms:modified xsi:type="dcterms:W3CDTF">2014-01-03T14:06:43Z</dcterms:modified>
  <cp:category/>
  <cp:version/>
  <cp:contentType/>
  <cp:contentStatus/>
</cp:coreProperties>
</file>